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trlProps/ctrlProp22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23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Entregables\Tercer Entregable - 20%\"/>
    </mc:Choice>
  </mc:AlternateContent>
  <xr:revisionPtr revIDLastSave="0" documentId="8_{34019D34-0F76-4410-8CCF-EE9D6095C6CB}" xr6:coauthVersionLast="47" xr6:coauthVersionMax="47" xr10:uidLastSave="{00000000-0000-0000-0000-000000000000}"/>
  <bookViews>
    <workbookView xWindow="-120" yWindow="-120" windowWidth="21840" windowHeight="13140" tabRatio="686" xr2:uid="{00000000-000D-0000-FFFF-FFFF00000000}"/>
  </bookViews>
  <sheets>
    <sheet name="Menú-Resumen" sheetId="5" r:id="rId1"/>
    <sheet name="Proyección y Escenarios" sheetId="1" r:id="rId2"/>
    <sheet name="Sostenibilidad y P-E" sheetId="9" r:id="rId3"/>
    <sheet name="Ingresos y Costos" sheetId="11" r:id="rId4"/>
    <sheet name="Valoración Actual" sheetId="4" r:id="rId5"/>
    <sheet name="Valoracion PC (Equilibrio)" sheetId="10" r:id="rId6"/>
    <sheet name="Fondos ICETEX-Fiduciarias" sheetId="12" r:id="rId7"/>
    <sheet name="Riesgo por Industria" sheetId="6" r:id="rId8"/>
    <sheet name="SN SICAPITAL" sheetId="2" state="hidden" r:id="rId9"/>
    <sheet name="Beneficio institucional" sheetId="3" state="hidden" r:id="rId10"/>
  </sheets>
  <externalReferences>
    <externalReference r:id="rId11"/>
  </externalReferences>
  <definedNames>
    <definedName name="_xlnm._FilterDatabase" localSheetId="6" hidden="1">'Fondos ICETEX-Fiduciarias'!$B$8:$D$175</definedName>
    <definedName name="betas" localSheetId="2">Table1[#All]</definedName>
    <definedName name="betas" localSheetId="5">Table1[#All]</definedName>
    <definedName name="betas">Table1[#All]</definedName>
    <definedName name="RiesgoInversionista" localSheetId="7">[1]Valoración!$C$32</definedName>
    <definedName name="RiesgoInversionista" localSheetId="5">'Valoracion PC (Equilibrio)'!$C$32</definedName>
    <definedName name="RiesgoInversionista">'Valoración Actual'!$C$32</definedName>
    <definedName name="_xlnm.Print_Titles" localSheetId="7">'Riesgo por Industria'!$17:$17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1" l="1"/>
  <c r="G56" i="11"/>
  <c r="E56" i="11"/>
  <c r="C56" i="11"/>
  <c r="K55" i="11"/>
  <c r="I55" i="11"/>
  <c r="G55" i="11"/>
  <c r="E55" i="11"/>
  <c r="C55" i="11"/>
  <c r="K54" i="11"/>
  <c r="I54" i="11"/>
  <c r="G54" i="11"/>
  <c r="E54" i="11"/>
  <c r="C54" i="11"/>
  <c r="K53" i="11"/>
  <c r="I53" i="11"/>
  <c r="G53" i="11"/>
  <c r="E53" i="11"/>
  <c r="C53" i="11"/>
  <c r="K52" i="11"/>
  <c r="I52" i="11"/>
  <c r="G52" i="11"/>
  <c r="E52" i="11"/>
  <c r="C52" i="11"/>
  <c r="K51" i="11"/>
  <c r="I51" i="11"/>
  <c r="G51" i="11"/>
  <c r="E51" i="11"/>
  <c r="C51" i="11"/>
  <c r="K50" i="11"/>
  <c r="I50" i="11"/>
  <c r="G50" i="11"/>
  <c r="E50" i="11"/>
  <c r="C50" i="11"/>
  <c r="K49" i="11"/>
  <c r="I49" i="11"/>
  <c r="G49" i="11"/>
  <c r="E49" i="11"/>
  <c r="C49" i="11"/>
  <c r="K48" i="11"/>
  <c r="I48" i="11"/>
  <c r="G48" i="11"/>
  <c r="E48" i="11"/>
  <c r="C48" i="11"/>
  <c r="M56" i="11"/>
  <c r="M55" i="11"/>
  <c r="M54" i="11"/>
  <c r="M53" i="11"/>
  <c r="M52" i="11"/>
  <c r="M51" i="11"/>
  <c r="M50" i="11"/>
  <c r="M49" i="11"/>
  <c r="M48" i="11"/>
  <c r="I32" i="9"/>
  <c r="I33" i="9" s="1"/>
  <c r="I32" i="1"/>
  <c r="I33" i="1" s="1"/>
  <c r="K57" i="11" s="1"/>
  <c r="L48" i="11" l="1"/>
  <c r="L52" i="11"/>
  <c r="L51" i="11"/>
  <c r="L55" i="11"/>
  <c r="L50" i="11"/>
  <c r="L54" i="11"/>
  <c r="L57" i="11"/>
  <c r="L53" i="11"/>
  <c r="L49" i="11"/>
  <c r="K56" i="11"/>
  <c r="L56" i="11" s="1"/>
  <c r="H22" i="12"/>
  <c r="H12" i="12"/>
  <c r="G12" i="12"/>
  <c r="O34" i="9" l="1"/>
  <c r="K51" i="1"/>
  <c r="H48" i="1"/>
  <c r="O37" i="9" l="1"/>
  <c r="C177" i="12"/>
  <c r="G16" i="12" s="1"/>
  <c r="J49" i="9"/>
  <c r="J50" i="9" s="1"/>
  <c r="J33" i="9"/>
  <c r="K26" i="9" s="1"/>
  <c r="J21" i="9"/>
  <c r="J47" i="1"/>
  <c r="AK33" i="9" l="1"/>
  <c r="AJ33" i="9"/>
  <c r="AI33" i="9"/>
  <c r="AH33" i="9"/>
  <c r="AG33" i="9"/>
  <c r="AF33" i="9"/>
  <c r="P14" i="9"/>
  <c r="O14" i="9"/>
  <c r="N14" i="9"/>
  <c r="N20" i="9" s="1"/>
  <c r="M14" i="9"/>
  <c r="M20" i="9" s="1"/>
  <c r="L14" i="9"/>
  <c r="P14" i="1" l="1"/>
  <c r="O14" i="1"/>
  <c r="N14" i="1"/>
  <c r="N20" i="1" s="1"/>
  <c r="M14" i="1"/>
  <c r="M20" i="1" s="1"/>
  <c r="L14" i="1"/>
  <c r="L15" i="1" s="1"/>
  <c r="G31" i="10" l="1"/>
  <c r="G28" i="10" s="1"/>
  <c r="F31" i="10"/>
  <c r="E31" i="10"/>
  <c r="E28" i="10" s="1"/>
  <c r="D31" i="10"/>
  <c r="C31" i="10"/>
  <c r="C28" i="10" s="1"/>
  <c r="F30" i="10"/>
  <c r="D30" i="10"/>
  <c r="F28" i="10"/>
  <c r="D28" i="10"/>
  <c r="D29" i="10" s="1"/>
  <c r="F22" i="10"/>
  <c r="D22" i="10"/>
  <c r="G20" i="10"/>
  <c r="G22" i="10" s="1"/>
  <c r="F20" i="10"/>
  <c r="E20" i="10"/>
  <c r="E22" i="10" s="1"/>
  <c r="D20" i="10"/>
  <c r="C20" i="10"/>
  <c r="C22" i="10" s="1"/>
  <c r="E29" i="10" l="1"/>
  <c r="K49" i="9"/>
  <c r="I50" i="9"/>
  <c r="H50" i="9"/>
  <c r="G50" i="9"/>
  <c r="F50" i="9"/>
  <c r="E50" i="9"/>
  <c r="D50" i="9"/>
  <c r="C50" i="9"/>
  <c r="N49" i="9"/>
  <c r="O49" i="9" s="1"/>
  <c r="P49" i="9" s="1"/>
  <c r="M49" i="9"/>
  <c r="L49" i="9"/>
  <c r="N48" i="9"/>
  <c r="M48" i="9"/>
  <c r="L48" i="9"/>
  <c r="N47" i="9"/>
  <c r="O47" i="9" s="1"/>
  <c r="P47" i="9" s="1"/>
  <c r="M47" i="9"/>
  <c r="L47" i="9"/>
  <c r="N46" i="9"/>
  <c r="O46" i="9" s="1"/>
  <c r="P46" i="9" s="1"/>
  <c r="M46" i="9"/>
  <c r="L46" i="9"/>
  <c r="N45" i="9"/>
  <c r="O45" i="9" s="1"/>
  <c r="P45" i="9" s="1"/>
  <c r="M45" i="9"/>
  <c r="L45" i="9"/>
  <c r="N44" i="9"/>
  <c r="O44" i="9" s="1"/>
  <c r="P44" i="9" s="1"/>
  <c r="M44" i="9"/>
  <c r="L44" i="9"/>
  <c r="N43" i="9"/>
  <c r="O43" i="9" s="1"/>
  <c r="P43" i="9" s="1"/>
  <c r="M43" i="9"/>
  <c r="L43" i="9"/>
  <c r="N42" i="9"/>
  <c r="O42" i="9" s="1"/>
  <c r="P42" i="9" s="1"/>
  <c r="M42" i="9"/>
  <c r="L42" i="9"/>
  <c r="N41" i="9"/>
  <c r="O41" i="9" s="1"/>
  <c r="P41" i="9" s="1"/>
  <c r="M41" i="9"/>
  <c r="L41" i="9"/>
  <c r="N40" i="9"/>
  <c r="O40" i="9" s="1"/>
  <c r="P40" i="9" s="1"/>
  <c r="M40" i="9"/>
  <c r="L40" i="9"/>
  <c r="N39" i="9"/>
  <c r="O39" i="9" s="1"/>
  <c r="P39" i="9" s="1"/>
  <c r="M39" i="9"/>
  <c r="L39" i="9"/>
  <c r="N38" i="9"/>
  <c r="O38" i="9" s="1"/>
  <c r="M38" i="9"/>
  <c r="L38" i="9"/>
  <c r="H33" i="9"/>
  <c r="G33" i="9"/>
  <c r="F33" i="9"/>
  <c r="E33" i="9"/>
  <c r="D33" i="9"/>
  <c r="C33" i="9"/>
  <c r="K31" i="9"/>
  <c r="K16" i="9"/>
  <c r="I21" i="9"/>
  <c r="H21" i="9"/>
  <c r="G21" i="9"/>
  <c r="F21" i="9"/>
  <c r="E21" i="9"/>
  <c r="D21" i="9"/>
  <c r="C21" i="9"/>
  <c r="K20" i="9"/>
  <c r="K15" i="9"/>
  <c r="O6" i="9"/>
  <c r="L20" i="9"/>
  <c r="N9" i="9"/>
  <c r="M9" i="9"/>
  <c r="L9" i="9"/>
  <c r="Q8" i="9"/>
  <c r="Q14" i="9" s="1"/>
  <c r="P6" i="9"/>
  <c r="N47" i="1"/>
  <c r="O47" i="1" s="1"/>
  <c r="P47" i="1" s="1"/>
  <c r="M47" i="1"/>
  <c r="L47" i="1"/>
  <c r="N46" i="1"/>
  <c r="O46" i="1" s="1"/>
  <c r="P46" i="1" s="1"/>
  <c r="M46" i="1"/>
  <c r="L46" i="1"/>
  <c r="N45" i="1"/>
  <c r="O45" i="1" s="1"/>
  <c r="P45" i="1" s="1"/>
  <c r="M45" i="1"/>
  <c r="L45" i="1"/>
  <c r="N44" i="1"/>
  <c r="O44" i="1" s="1"/>
  <c r="P44" i="1" s="1"/>
  <c r="M44" i="1"/>
  <c r="L44" i="1"/>
  <c r="N43" i="1"/>
  <c r="O43" i="1" s="1"/>
  <c r="P43" i="1" s="1"/>
  <c r="M43" i="1"/>
  <c r="L43" i="1"/>
  <c r="N42" i="1"/>
  <c r="O42" i="1" s="1"/>
  <c r="P42" i="1" s="1"/>
  <c r="M42" i="1"/>
  <c r="L42" i="1"/>
  <c r="N41" i="1"/>
  <c r="O41" i="1" s="1"/>
  <c r="P41" i="1" s="1"/>
  <c r="M41" i="1"/>
  <c r="L41" i="1"/>
  <c r="N40" i="1"/>
  <c r="O40" i="1" s="1"/>
  <c r="P40" i="1" s="1"/>
  <c r="M40" i="1"/>
  <c r="L40" i="1"/>
  <c r="N39" i="1"/>
  <c r="O39" i="1" s="1"/>
  <c r="P39" i="1" s="1"/>
  <c r="M39" i="1"/>
  <c r="L39" i="1"/>
  <c r="N38" i="1"/>
  <c r="O38" i="1" s="1"/>
  <c r="P38" i="1" s="1"/>
  <c r="M38" i="1"/>
  <c r="L38" i="1"/>
  <c r="N37" i="1"/>
  <c r="O37" i="1" s="1"/>
  <c r="P37" i="1" s="1"/>
  <c r="M37" i="1"/>
  <c r="L37" i="1"/>
  <c r="N36" i="1"/>
  <c r="O36" i="1" s="1"/>
  <c r="P36" i="1" s="1"/>
  <c r="M36" i="1"/>
  <c r="L36" i="1"/>
  <c r="N32" i="1"/>
  <c r="O32" i="1" s="1"/>
  <c r="P32" i="1" s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4" i="1"/>
  <c r="M24" i="1"/>
  <c r="L24" i="1"/>
  <c r="O52" i="11" l="1"/>
  <c r="Q53" i="11"/>
  <c r="S54" i="11"/>
  <c r="O56" i="11"/>
  <c r="O55" i="11"/>
  <c r="Q56" i="11"/>
  <c r="Q48" i="11"/>
  <c r="O53" i="11"/>
  <c r="Q54" i="11"/>
  <c r="O51" i="11"/>
  <c r="Q52" i="11"/>
  <c r="O48" i="11"/>
  <c r="Q51" i="11"/>
  <c r="O54" i="11"/>
  <c r="Q55" i="11"/>
  <c r="O27" i="1"/>
  <c r="S51" i="11"/>
  <c r="O31" i="1"/>
  <c r="S55" i="11"/>
  <c r="O28" i="1"/>
  <c r="S52" i="11"/>
  <c r="S56" i="11"/>
  <c r="O24" i="1"/>
  <c r="S48" i="11"/>
  <c r="O29" i="1"/>
  <c r="S53" i="11"/>
  <c r="O48" i="9"/>
  <c r="P48" i="9" s="1"/>
  <c r="Q48" i="9" s="1"/>
  <c r="K29" i="9"/>
  <c r="K33" i="9"/>
  <c r="K19" i="9"/>
  <c r="K21" i="9"/>
  <c r="G12" i="9"/>
  <c r="G6" i="9" s="1"/>
  <c r="D52" i="9"/>
  <c r="H52" i="9"/>
  <c r="H12" i="9"/>
  <c r="H6" i="9" s="1"/>
  <c r="E52" i="9"/>
  <c r="I52" i="9"/>
  <c r="I12" i="9"/>
  <c r="I6" i="9" s="1"/>
  <c r="F52" i="9"/>
  <c r="F12" i="9"/>
  <c r="F6" i="9" s="1"/>
  <c r="K18" i="9"/>
  <c r="J12" i="9"/>
  <c r="J6" i="9" s="1"/>
  <c r="K46" i="9"/>
  <c r="K30" i="9"/>
  <c r="O30" i="1"/>
  <c r="F29" i="10"/>
  <c r="L6" i="9"/>
  <c r="N6" i="9"/>
  <c r="M6" i="9"/>
  <c r="K32" i="9"/>
  <c r="K17" i="9"/>
  <c r="C52" i="9"/>
  <c r="G52" i="9"/>
  <c r="K24" i="9"/>
  <c r="K27" i="9"/>
  <c r="J52" i="9"/>
  <c r="M34" i="9"/>
  <c r="K25" i="9"/>
  <c r="K28" i="9"/>
  <c r="L50" i="9"/>
  <c r="N50" i="9"/>
  <c r="M50" i="9"/>
  <c r="O20" i="9"/>
  <c r="Q40" i="9"/>
  <c r="Q39" i="9"/>
  <c r="Q43" i="9"/>
  <c r="Q47" i="9"/>
  <c r="Q6" i="9"/>
  <c r="R8" i="9"/>
  <c r="Q41" i="9"/>
  <c r="Q45" i="9"/>
  <c r="Q49" i="9"/>
  <c r="Q44" i="9"/>
  <c r="P38" i="9"/>
  <c r="Q42" i="9"/>
  <c r="Q46" i="9"/>
  <c r="L17" i="9"/>
  <c r="L19" i="9"/>
  <c r="M15" i="9"/>
  <c r="M16" i="9"/>
  <c r="M17" i="9"/>
  <c r="M18" i="9"/>
  <c r="M19" i="9"/>
  <c r="K38" i="9"/>
  <c r="K39" i="9"/>
  <c r="K40" i="9"/>
  <c r="K41" i="9"/>
  <c r="K42" i="9"/>
  <c r="K43" i="9"/>
  <c r="K44" i="9"/>
  <c r="K45" i="9"/>
  <c r="K47" i="9"/>
  <c r="K48" i="9"/>
  <c r="L15" i="9"/>
  <c r="L16" i="9"/>
  <c r="L18" i="9"/>
  <c r="N15" i="9"/>
  <c r="N16" i="9"/>
  <c r="O16" i="9" s="1"/>
  <c r="P16" i="9" s="1"/>
  <c r="N17" i="9"/>
  <c r="O17" i="9" s="1"/>
  <c r="P17" i="9" s="1"/>
  <c r="N18" i="9"/>
  <c r="O18" i="9" s="1"/>
  <c r="P18" i="9" s="1"/>
  <c r="N19" i="9"/>
  <c r="O19" i="9" s="1"/>
  <c r="P19" i="9" s="1"/>
  <c r="N10" i="1"/>
  <c r="M10" i="1"/>
  <c r="L10" i="1"/>
  <c r="F30" i="4"/>
  <c r="P7" i="1"/>
  <c r="O7" i="1"/>
  <c r="I113" i="6"/>
  <c r="G113" i="6"/>
  <c r="G112" i="6"/>
  <c r="I112" i="6" s="1"/>
  <c r="I111" i="6"/>
  <c r="G111" i="6"/>
  <c r="G110" i="6"/>
  <c r="I110" i="6" s="1"/>
  <c r="I109" i="6"/>
  <c r="G109" i="6"/>
  <c r="G108" i="6"/>
  <c r="I108" i="6" s="1"/>
  <c r="I107" i="6"/>
  <c r="G107" i="6"/>
  <c r="G106" i="6"/>
  <c r="I106" i="6" s="1"/>
  <c r="I105" i="6"/>
  <c r="G105" i="6"/>
  <c r="G104" i="6"/>
  <c r="I104" i="6" s="1"/>
  <c r="I103" i="6"/>
  <c r="G103" i="6"/>
  <c r="G102" i="6"/>
  <c r="I102" i="6" s="1"/>
  <c r="I101" i="6"/>
  <c r="G101" i="6"/>
  <c r="G100" i="6"/>
  <c r="I100" i="6" s="1"/>
  <c r="I99" i="6"/>
  <c r="G99" i="6"/>
  <c r="G98" i="6"/>
  <c r="I98" i="6" s="1"/>
  <c r="I97" i="6"/>
  <c r="G97" i="6"/>
  <c r="G96" i="6"/>
  <c r="I96" i="6" s="1"/>
  <c r="I95" i="6"/>
  <c r="G95" i="6"/>
  <c r="G94" i="6"/>
  <c r="I94" i="6" s="1"/>
  <c r="I93" i="6"/>
  <c r="G93" i="6"/>
  <c r="G92" i="6"/>
  <c r="I92" i="6" s="1"/>
  <c r="I91" i="6"/>
  <c r="G91" i="6"/>
  <c r="G90" i="6"/>
  <c r="I90" i="6" s="1"/>
  <c r="I89" i="6"/>
  <c r="G89" i="6"/>
  <c r="G88" i="6"/>
  <c r="I88" i="6" s="1"/>
  <c r="I87" i="6"/>
  <c r="G87" i="6"/>
  <c r="G86" i="6"/>
  <c r="I86" i="6" s="1"/>
  <c r="I85" i="6"/>
  <c r="G85" i="6"/>
  <c r="G84" i="6"/>
  <c r="I84" i="6" s="1"/>
  <c r="I83" i="6"/>
  <c r="G83" i="6"/>
  <c r="G82" i="6"/>
  <c r="I82" i="6" s="1"/>
  <c r="I81" i="6"/>
  <c r="G81" i="6"/>
  <c r="G80" i="6"/>
  <c r="I80" i="6" s="1"/>
  <c r="I79" i="6"/>
  <c r="G79" i="6"/>
  <c r="G78" i="6"/>
  <c r="I78" i="6" s="1"/>
  <c r="I77" i="6"/>
  <c r="G77" i="6"/>
  <c r="G76" i="6"/>
  <c r="I76" i="6" s="1"/>
  <c r="I75" i="6"/>
  <c r="G75" i="6"/>
  <c r="G74" i="6"/>
  <c r="I74" i="6" s="1"/>
  <c r="I73" i="6"/>
  <c r="G73" i="6"/>
  <c r="G72" i="6"/>
  <c r="I72" i="6" s="1"/>
  <c r="I71" i="6"/>
  <c r="G71" i="6"/>
  <c r="G70" i="6"/>
  <c r="I70" i="6" s="1"/>
  <c r="I69" i="6"/>
  <c r="G69" i="6"/>
  <c r="G68" i="6"/>
  <c r="I68" i="6" s="1"/>
  <c r="I67" i="6"/>
  <c r="G67" i="6"/>
  <c r="G66" i="6"/>
  <c r="I66" i="6" s="1"/>
  <c r="I65" i="6"/>
  <c r="G65" i="6"/>
  <c r="G64" i="6"/>
  <c r="I64" i="6" s="1"/>
  <c r="I63" i="6"/>
  <c r="G63" i="6"/>
  <c r="G62" i="6"/>
  <c r="I62" i="6" s="1"/>
  <c r="G61" i="6"/>
  <c r="I61" i="6" s="1"/>
  <c r="G60" i="6"/>
  <c r="I60" i="6" s="1"/>
  <c r="G59" i="6"/>
  <c r="I59" i="6" s="1"/>
  <c r="G58" i="6"/>
  <c r="I58" i="6" s="1"/>
  <c r="G57" i="6"/>
  <c r="I57" i="6" s="1"/>
  <c r="G56" i="6"/>
  <c r="I56" i="6" s="1"/>
  <c r="G55" i="6"/>
  <c r="I55" i="6" s="1"/>
  <c r="G54" i="6"/>
  <c r="I54" i="6" s="1"/>
  <c r="G53" i="6"/>
  <c r="I53" i="6" s="1"/>
  <c r="G52" i="6"/>
  <c r="I52" i="6" s="1"/>
  <c r="G51" i="6"/>
  <c r="I51" i="6" s="1"/>
  <c r="G50" i="6"/>
  <c r="I50" i="6" s="1"/>
  <c r="G49" i="6"/>
  <c r="I49" i="6" s="1"/>
  <c r="G48" i="6"/>
  <c r="I48" i="6" s="1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G41" i="6"/>
  <c r="I41" i="6" s="1"/>
  <c r="G40" i="6"/>
  <c r="I40" i="6" s="1"/>
  <c r="G39" i="6"/>
  <c r="I39" i="6" s="1"/>
  <c r="G38" i="6"/>
  <c r="I38" i="6" s="1"/>
  <c r="G37" i="6"/>
  <c r="I37" i="6" s="1"/>
  <c r="G36" i="6"/>
  <c r="I36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E20" i="4"/>
  <c r="E22" i="4" s="1"/>
  <c r="G31" i="4"/>
  <c r="G28" i="4" s="1"/>
  <c r="F31" i="4"/>
  <c r="F28" i="4" s="1"/>
  <c r="E31" i="4"/>
  <c r="E28" i="4" s="1"/>
  <c r="D31" i="4"/>
  <c r="D28" i="4" s="1"/>
  <c r="D29" i="4" s="1"/>
  <c r="C31" i="4"/>
  <c r="C28" i="4" s="1"/>
  <c r="D30" i="4"/>
  <c r="G20" i="4"/>
  <c r="G22" i="4" s="1"/>
  <c r="F20" i="4"/>
  <c r="F22" i="4" s="1"/>
  <c r="D20" i="4"/>
  <c r="D22" i="4" s="1"/>
  <c r="C20" i="4"/>
  <c r="C22" i="4" s="1"/>
  <c r="M21" i="9" l="1"/>
  <c r="N21" i="9"/>
  <c r="P20" i="9"/>
  <c r="O50" i="9"/>
  <c r="P27" i="1"/>
  <c r="U51" i="11"/>
  <c r="P29" i="1"/>
  <c r="U53" i="11"/>
  <c r="P31" i="1"/>
  <c r="U55" i="11"/>
  <c r="P30" i="1"/>
  <c r="U54" i="11"/>
  <c r="P24" i="1"/>
  <c r="U48" i="11"/>
  <c r="P28" i="1"/>
  <c r="U52" i="11"/>
  <c r="U56" i="11"/>
  <c r="R14" i="9"/>
  <c r="R6" i="9" s="1"/>
  <c r="G29" i="10"/>
  <c r="Q18" i="9"/>
  <c r="Q17" i="9"/>
  <c r="R44" i="9"/>
  <c r="R49" i="9"/>
  <c r="R39" i="9"/>
  <c r="P50" i="9"/>
  <c r="Q38" i="9"/>
  <c r="N34" i="9"/>
  <c r="R45" i="9"/>
  <c r="R48" i="9"/>
  <c r="Q16" i="9"/>
  <c r="R46" i="9"/>
  <c r="R41" i="9"/>
  <c r="R47" i="9"/>
  <c r="R40" i="9"/>
  <c r="Q19" i="9"/>
  <c r="O15" i="9"/>
  <c r="O21" i="9" s="1"/>
  <c r="L21" i="9"/>
  <c r="L12" i="9" s="1"/>
  <c r="R42" i="9"/>
  <c r="Q20" i="9"/>
  <c r="R43" i="9"/>
  <c r="N25" i="1"/>
  <c r="N26" i="1"/>
  <c r="L26" i="1"/>
  <c r="L25" i="1"/>
  <c r="M26" i="1"/>
  <c r="M25" i="1"/>
  <c r="E29" i="4"/>
  <c r="F29" i="4" s="1"/>
  <c r="L7" i="1"/>
  <c r="M7" i="1"/>
  <c r="N7" i="1"/>
  <c r="M15" i="1"/>
  <c r="N15" i="1"/>
  <c r="M16" i="1"/>
  <c r="M18" i="1"/>
  <c r="L19" i="1"/>
  <c r="M17" i="1"/>
  <c r="L18" i="1"/>
  <c r="M19" i="1"/>
  <c r="L16" i="1"/>
  <c r="L20" i="1"/>
  <c r="L17" i="1"/>
  <c r="N19" i="1"/>
  <c r="O19" i="1" s="1"/>
  <c r="P19" i="1" s="1"/>
  <c r="N18" i="1"/>
  <c r="O18" i="1" s="1"/>
  <c r="P18" i="1" s="1"/>
  <c r="N16" i="1"/>
  <c r="O16" i="1" s="1"/>
  <c r="P16" i="1" s="1"/>
  <c r="O20" i="1"/>
  <c r="N17" i="1"/>
  <c r="O17" i="1" s="1"/>
  <c r="P17" i="1" s="1"/>
  <c r="Q9" i="1"/>
  <c r="N33" i="1" l="1"/>
  <c r="M33" i="1"/>
  <c r="Q14" i="1"/>
  <c r="Q19" i="1" s="1"/>
  <c r="Q32" i="1"/>
  <c r="L33" i="1"/>
  <c r="M21" i="1"/>
  <c r="O15" i="1"/>
  <c r="P15" i="1" s="1"/>
  <c r="N21" i="1"/>
  <c r="R20" i="9"/>
  <c r="P20" i="1"/>
  <c r="O21" i="1"/>
  <c r="K9" i="11" s="1"/>
  <c r="O50" i="11"/>
  <c r="W52" i="11"/>
  <c r="W54" i="11"/>
  <c r="W53" i="11"/>
  <c r="Q49" i="11"/>
  <c r="O49" i="11"/>
  <c r="Q50" i="11"/>
  <c r="W56" i="11"/>
  <c r="W48" i="11"/>
  <c r="W55" i="11"/>
  <c r="W51" i="11"/>
  <c r="R19" i="9"/>
  <c r="R18" i="9"/>
  <c r="R16" i="9"/>
  <c r="R17" i="9"/>
  <c r="O25" i="1"/>
  <c r="S49" i="11"/>
  <c r="O26" i="1"/>
  <c r="S50" i="11"/>
  <c r="N52" i="9"/>
  <c r="C11" i="10" s="1"/>
  <c r="C14" i="10" s="1"/>
  <c r="C26" i="10" s="1"/>
  <c r="C34" i="10" s="1"/>
  <c r="N12" i="9"/>
  <c r="Q50" i="9"/>
  <c r="R38" i="9"/>
  <c r="R50" i="9" s="1"/>
  <c r="O12" i="9"/>
  <c r="P15" i="9"/>
  <c r="P21" i="9" s="1"/>
  <c r="Q40" i="1"/>
  <c r="Q27" i="1"/>
  <c r="Q30" i="1"/>
  <c r="Q29" i="1"/>
  <c r="Q41" i="1"/>
  <c r="Q31" i="1"/>
  <c r="Q7" i="1"/>
  <c r="Q44" i="1"/>
  <c r="Q43" i="1"/>
  <c r="Q39" i="1"/>
  <c r="Q36" i="1"/>
  <c r="Q37" i="1"/>
  <c r="Q28" i="1"/>
  <c r="Q38" i="1"/>
  <c r="Q45" i="1"/>
  <c r="Q47" i="1"/>
  <c r="Q42" i="1"/>
  <c r="Q46" i="1"/>
  <c r="Q24" i="1"/>
  <c r="R9" i="1"/>
  <c r="L21" i="1"/>
  <c r="H9" i="11" s="1"/>
  <c r="O48" i="1"/>
  <c r="G29" i="4"/>
  <c r="L48" i="1"/>
  <c r="M48" i="1"/>
  <c r="T25" i="9"/>
  <c r="M25" i="9" s="1"/>
  <c r="AF25" i="9" s="1"/>
  <c r="I9" i="11"/>
  <c r="Q17" i="1" l="1"/>
  <c r="Q16" i="1"/>
  <c r="O33" i="1"/>
  <c r="V26" i="9" s="1"/>
  <c r="P21" i="1"/>
  <c r="L9" i="11" s="1"/>
  <c r="L10" i="11" s="1"/>
  <c r="Y56" i="11"/>
  <c r="Y53" i="11"/>
  <c r="S30" i="9"/>
  <c r="S27" i="9"/>
  <c r="S32" i="9"/>
  <c r="S31" i="9"/>
  <c r="S28" i="9"/>
  <c r="S29" i="9"/>
  <c r="S24" i="9"/>
  <c r="Y54" i="11"/>
  <c r="T26" i="9"/>
  <c r="M26" i="9" s="1"/>
  <c r="AF26" i="9" s="1"/>
  <c r="Y55" i="11"/>
  <c r="Y51" i="11"/>
  <c r="S26" i="9"/>
  <c r="Y48" i="11"/>
  <c r="T32" i="9"/>
  <c r="M32" i="9" s="1"/>
  <c r="AF32" i="9" s="1"/>
  <c r="T29" i="9"/>
  <c r="M29" i="9" s="1"/>
  <c r="AF29" i="9" s="1"/>
  <c r="T24" i="9"/>
  <c r="T30" i="9"/>
  <c r="M30" i="9" s="1"/>
  <c r="AF30" i="9" s="1"/>
  <c r="T28" i="9"/>
  <c r="M28" i="9" s="1"/>
  <c r="AF28" i="9" s="1"/>
  <c r="T27" i="9"/>
  <c r="M27" i="9" s="1"/>
  <c r="AF27" i="9" s="1"/>
  <c r="T31" i="9"/>
  <c r="M31" i="9" s="1"/>
  <c r="AF31" i="9" s="1"/>
  <c r="Y52" i="11"/>
  <c r="S25" i="9"/>
  <c r="P25" i="1"/>
  <c r="U49" i="11"/>
  <c r="Q57" i="11"/>
  <c r="O57" i="11"/>
  <c r="P26" i="1"/>
  <c r="U50" i="11"/>
  <c r="I16" i="5"/>
  <c r="I12" i="5"/>
  <c r="R14" i="1"/>
  <c r="R7" i="1" s="1"/>
  <c r="Q18" i="1"/>
  <c r="Q20" i="1"/>
  <c r="R24" i="1"/>
  <c r="R32" i="1"/>
  <c r="R37" i="1"/>
  <c r="R44" i="1"/>
  <c r="R29" i="1"/>
  <c r="Q15" i="9"/>
  <c r="Q21" i="9" s="1"/>
  <c r="R46" i="1"/>
  <c r="R45" i="1"/>
  <c r="R36" i="1"/>
  <c r="R30" i="1"/>
  <c r="R42" i="1"/>
  <c r="R38" i="1"/>
  <c r="R39" i="1"/>
  <c r="R31" i="1"/>
  <c r="R27" i="1"/>
  <c r="R47" i="1"/>
  <c r="R28" i="1"/>
  <c r="R43" i="1"/>
  <c r="R41" i="1"/>
  <c r="R40" i="1"/>
  <c r="Q15" i="1"/>
  <c r="P48" i="1"/>
  <c r="L50" i="1"/>
  <c r="M50" i="1"/>
  <c r="P33" i="1" l="1"/>
  <c r="P23" i="1" s="1"/>
  <c r="Q21" i="1"/>
  <c r="V25" i="9"/>
  <c r="AA55" i="11"/>
  <c r="AA54" i="11"/>
  <c r="S33" i="9"/>
  <c r="AA51" i="11"/>
  <c r="AA52" i="11"/>
  <c r="AA56" i="11"/>
  <c r="AA53" i="11"/>
  <c r="AA48" i="11"/>
  <c r="O50" i="1"/>
  <c r="V30" i="9"/>
  <c r="V24" i="9"/>
  <c r="V29" i="9"/>
  <c r="V28" i="9"/>
  <c r="V32" i="9"/>
  <c r="V27" i="9"/>
  <c r="V31" i="9"/>
  <c r="T33" i="9"/>
  <c r="M24" i="9"/>
  <c r="M35" i="9" s="1"/>
  <c r="M51" i="1"/>
  <c r="L51" i="1"/>
  <c r="Q26" i="1"/>
  <c r="W50" i="11"/>
  <c r="R57" i="11"/>
  <c r="R51" i="11"/>
  <c r="R53" i="11"/>
  <c r="R55" i="11"/>
  <c r="R48" i="11"/>
  <c r="R54" i="11"/>
  <c r="R52" i="11"/>
  <c r="R56" i="11"/>
  <c r="R50" i="11"/>
  <c r="R49" i="11"/>
  <c r="P57" i="11"/>
  <c r="P54" i="11"/>
  <c r="P53" i="11"/>
  <c r="P51" i="11"/>
  <c r="P55" i="11"/>
  <c r="P52" i="11"/>
  <c r="P56" i="11"/>
  <c r="P48" i="11"/>
  <c r="P49" i="11"/>
  <c r="P50" i="11"/>
  <c r="U57" i="11"/>
  <c r="Q25" i="1"/>
  <c r="W49" i="11"/>
  <c r="P12" i="9"/>
  <c r="P52" i="9"/>
  <c r="J16" i="5"/>
  <c r="P35" i="1"/>
  <c r="J12" i="5"/>
  <c r="P12" i="1"/>
  <c r="R18" i="1"/>
  <c r="R19" i="1"/>
  <c r="R16" i="1"/>
  <c r="R20" i="1"/>
  <c r="R17" i="1"/>
  <c r="O52" i="9"/>
  <c r="R15" i="9"/>
  <c r="R21" i="9" s="1"/>
  <c r="Q12" i="9"/>
  <c r="R48" i="1"/>
  <c r="Q48" i="1"/>
  <c r="R15" i="1"/>
  <c r="N48" i="1"/>
  <c r="J9" i="11"/>
  <c r="Q33" i="1" l="1"/>
  <c r="Q50" i="1" s="1"/>
  <c r="K18" i="5" s="1"/>
  <c r="W26" i="9"/>
  <c r="R21" i="1"/>
  <c r="Q12" i="1"/>
  <c r="M9" i="11"/>
  <c r="M10" i="11" s="1"/>
  <c r="D11" i="4"/>
  <c r="D14" i="4" s="1"/>
  <c r="D26" i="4" s="1"/>
  <c r="D34" i="4" s="1"/>
  <c r="I18" i="5"/>
  <c r="K10" i="11"/>
  <c r="W25" i="9"/>
  <c r="W57" i="11"/>
  <c r="X57" i="11" s="1"/>
  <c r="P50" i="1"/>
  <c r="O51" i="1"/>
  <c r="AF24" i="9"/>
  <c r="U31" i="9"/>
  <c r="N31" i="9" s="1"/>
  <c r="U29" i="9"/>
  <c r="N29" i="9" s="1"/>
  <c r="U24" i="9"/>
  <c r="U30" i="9"/>
  <c r="N30" i="9" s="1"/>
  <c r="U27" i="9"/>
  <c r="N27" i="9" s="1"/>
  <c r="U28" i="9"/>
  <c r="N28" i="9" s="1"/>
  <c r="U32" i="9"/>
  <c r="N32" i="9" s="1"/>
  <c r="U25" i="9"/>
  <c r="N25" i="9" s="1"/>
  <c r="U26" i="9"/>
  <c r="N26" i="9" s="1"/>
  <c r="V33" i="9"/>
  <c r="W27" i="9"/>
  <c r="W30" i="9"/>
  <c r="W32" i="9"/>
  <c r="W31" i="9"/>
  <c r="W28" i="9"/>
  <c r="W29" i="9"/>
  <c r="W24" i="9"/>
  <c r="E11" i="10"/>
  <c r="E14" i="10" s="1"/>
  <c r="E26" i="10" s="1"/>
  <c r="E34" i="10" s="1"/>
  <c r="S57" i="11"/>
  <c r="R25" i="1"/>
  <c r="R33" i="1" s="1"/>
  <c r="Y49" i="11"/>
  <c r="V57" i="11"/>
  <c r="V54" i="11"/>
  <c r="V48" i="11"/>
  <c r="V53" i="11"/>
  <c r="V56" i="11"/>
  <c r="V51" i="11"/>
  <c r="V55" i="11"/>
  <c r="V52" i="11"/>
  <c r="R26" i="1"/>
  <c r="Y50" i="11"/>
  <c r="V50" i="11"/>
  <c r="O23" i="1"/>
  <c r="V49" i="11"/>
  <c r="K16" i="5"/>
  <c r="Q35" i="1"/>
  <c r="H16" i="5"/>
  <c r="O35" i="1"/>
  <c r="L16" i="5"/>
  <c r="R35" i="1"/>
  <c r="D11" i="10"/>
  <c r="D14" i="10" s="1"/>
  <c r="D26" i="10" s="1"/>
  <c r="D34" i="10" s="1"/>
  <c r="H12" i="5"/>
  <c r="O12" i="1"/>
  <c r="R12" i="9"/>
  <c r="N9" i="11"/>
  <c r="Q52" i="9"/>
  <c r="K12" i="5"/>
  <c r="N50" i="1"/>
  <c r="H18" i="5" s="1"/>
  <c r="J48" i="1"/>
  <c r="J33" i="1"/>
  <c r="J21" i="1"/>
  <c r="G9" i="11" s="1"/>
  <c r="L23" i="1" l="1"/>
  <c r="M57" i="11"/>
  <c r="H10" i="11"/>
  <c r="I10" i="11"/>
  <c r="J10" i="11"/>
  <c r="X55" i="11"/>
  <c r="X50" i="11"/>
  <c r="N10" i="11"/>
  <c r="X54" i="11"/>
  <c r="X56" i="11"/>
  <c r="X53" i="11"/>
  <c r="X49" i="11"/>
  <c r="X52" i="11"/>
  <c r="X48" i="11"/>
  <c r="X51" i="11"/>
  <c r="N35" i="1"/>
  <c r="G21" i="12"/>
  <c r="G22" i="12" s="1"/>
  <c r="G23" i="12" s="1"/>
  <c r="E11" i="4"/>
  <c r="E14" i="4" s="1"/>
  <c r="E26" i="4" s="1"/>
  <c r="E34" i="4" s="1"/>
  <c r="J18" i="5"/>
  <c r="P51" i="1"/>
  <c r="P49" i="1"/>
  <c r="Y57" i="11"/>
  <c r="Z57" i="11" s="1"/>
  <c r="Z32" i="9"/>
  <c r="AG32" i="9"/>
  <c r="U33" i="9"/>
  <c r="N24" i="9"/>
  <c r="N35" i="9" s="1"/>
  <c r="X30" i="9"/>
  <c r="X31" i="9"/>
  <c r="X32" i="9"/>
  <c r="X24" i="9"/>
  <c r="X27" i="9"/>
  <c r="X28" i="9"/>
  <c r="X29" i="9"/>
  <c r="Q23" i="1"/>
  <c r="Z28" i="9"/>
  <c r="AG28" i="9"/>
  <c r="Z29" i="9"/>
  <c r="AG29" i="9"/>
  <c r="W33" i="9"/>
  <c r="Z26" i="9"/>
  <c r="AG26" i="9"/>
  <c r="AG27" i="9"/>
  <c r="Z27" i="9"/>
  <c r="AG31" i="9"/>
  <c r="Z31" i="9"/>
  <c r="AA50" i="11"/>
  <c r="Z25" i="9"/>
  <c r="AG25" i="9"/>
  <c r="AG30" i="9"/>
  <c r="Z30" i="9"/>
  <c r="X25" i="9"/>
  <c r="X26" i="9"/>
  <c r="C11" i="4"/>
  <c r="C14" i="4" s="1"/>
  <c r="C26" i="4" s="1"/>
  <c r="C34" i="4" s="1"/>
  <c r="N51" i="1"/>
  <c r="O49" i="1"/>
  <c r="F11" i="4"/>
  <c r="F14" i="4" s="1"/>
  <c r="F26" i="4" s="1"/>
  <c r="F34" i="4" s="1"/>
  <c r="Q51" i="1"/>
  <c r="Q49" i="1"/>
  <c r="N12" i="1"/>
  <c r="N23" i="1"/>
  <c r="M23" i="1"/>
  <c r="Z52" i="11"/>
  <c r="AA49" i="11"/>
  <c r="Y26" i="9"/>
  <c r="T57" i="11"/>
  <c r="T54" i="11"/>
  <c r="T53" i="11"/>
  <c r="T52" i="11"/>
  <c r="T56" i="11"/>
  <c r="T48" i="11"/>
  <c r="T55" i="11"/>
  <c r="T51" i="11"/>
  <c r="T50" i="11"/>
  <c r="T49" i="11"/>
  <c r="L35" i="1"/>
  <c r="M35" i="1"/>
  <c r="M12" i="1"/>
  <c r="L12" i="1"/>
  <c r="F11" i="10"/>
  <c r="F14" i="10" s="1"/>
  <c r="F26" i="10" s="1"/>
  <c r="F34" i="10" s="1"/>
  <c r="Q34" i="9"/>
  <c r="L12" i="5"/>
  <c r="R12" i="1"/>
  <c r="J50" i="1"/>
  <c r="C28" i="2"/>
  <c r="C30" i="2" s="1"/>
  <c r="B28" i="2"/>
  <c r="B30" i="2"/>
  <c r="N54" i="11" l="1"/>
  <c r="N48" i="11"/>
  <c r="N52" i="11"/>
  <c r="N49" i="11"/>
  <c r="N56" i="11"/>
  <c r="N53" i="11"/>
  <c r="N55" i="11"/>
  <c r="N57" i="11"/>
  <c r="N50" i="11"/>
  <c r="N51" i="11"/>
  <c r="Z50" i="11"/>
  <c r="Z53" i="11"/>
  <c r="Z51" i="11"/>
  <c r="Z48" i="11"/>
  <c r="Z55" i="11"/>
  <c r="Z54" i="11"/>
  <c r="Z49" i="11"/>
  <c r="Z56" i="11"/>
  <c r="Y25" i="9"/>
  <c r="X33" i="9"/>
  <c r="O31" i="9"/>
  <c r="AH31" i="9" s="1"/>
  <c r="AA31" i="9"/>
  <c r="O30" i="9"/>
  <c r="AH30" i="9" s="1"/>
  <c r="AA30" i="9"/>
  <c r="O26" i="9"/>
  <c r="AH26" i="9" s="1"/>
  <c r="AA26" i="9"/>
  <c r="N53" i="9"/>
  <c r="Z24" i="9"/>
  <c r="AG24" i="9"/>
  <c r="O25" i="9"/>
  <c r="AH25" i="9" s="1"/>
  <c r="AA25" i="9"/>
  <c r="O29" i="9"/>
  <c r="AH29" i="9" s="1"/>
  <c r="AA29" i="9"/>
  <c r="R50" i="1"/>
  <c r="Y27" i="9"/>
  <c r="Y31" i="9"/>
  <c r="Y32" i="9"/>
  <c r="Y24" i="9"/>
  <c r="Y30" i="9"/>
  <c r="Y29" i="9"/>
  <c r="Y28" i="9"/>
  <c r="O27" i="9"/>
  <c r="AH27" i="9" s="1"/>
  <c r="AA27" i="9"/>
  <c r="O28" i="9"/>
  <c r="AH28" i="9" s="1"/>
  <c r="AA28" i="9"/>
  <c r="O32" i="9"/>
  <c r="AH32" i="9" s="1"/>
  <c r="AA32" i="9"/>
  <c r="Q37" i="9"/>
  <c r="K49" i="1"/>
  <c r="J51" i="1"/>
  <c r="M49" i="1"/>
  <c r="L49" i="1"/>
  <c r="N49" i="1"/>
  <c r="AA57" i="11"/>
  <c r="AB49" i="11" s="1"/>
  <c r="R23" i="1"/>
  <c r="H14" i="5" a="1"/>
  <c r="H14" i="5" s="1"/>
  <c r="K39" i="1"/>
  <c r="K36" i="1"/>
  <c r="K42" i="1"/>
  <c r="K15" i="1"/>
  <c r="K40" i="1"/>
  <c r="K44" i="1"/>
  <c r="K17" i="1"/>
  <c r="K28" i="1"/>
  <c r="K46" i="1"/>
  <c r="K18" i="1"/>
  <c r="K37" i="1"/>
  <c r="K41" i="1"/>
  <c r="K30" i="1"/>
  <c r="K16" i="1"/>
  <c r="K19" i="1"/>
  <c r="C48" i="1"/>
  <c r="D48" i="1"/>
  <c r="C33" i="1"/>
  <c r="C21" i="1"/>
  <c r="D33" i="1"/>
  <c r="D21" i="1"/>
  <c r="R49" i="1" l="1"/>
  <c r="L18" i="5"/>
  <c r="G11" i="4"/>
  <c r="G14" i="4" s="1"/>
  <c r="G26" i="4" s="1"/>
  <c r="H26" i="4" s="1"/>
  <c r="G27" i="4" s="1"/>
  <c r="G34" i="4" s="1"/>
  <c r="C36" i="4" s="1"/>
  <c r="H22" i="5" s="1"/>
  <c r="R51" i="1"/>
  <c r="AB28" i="9"/>
  <c r="P28" i="9"/>
  <c r="AI28" i="9" s="1"/>
  <c r="AB29" i="9"/>
  <c r="P29" i="9"/>
  <c r="AI29" i="9" s="1"/>
  <c r="P32" i="9"/>
  <c r="AI32" i="9" s="1"/>
  <c r="AB32" i="9"/>
  <c r="P27" i="9"/>
  <c r="AI27" i="9" s="1"/>
  <c r="AB27" i="9"/>
  <c r="P25" i="9"/>
  <c r="AI25" i="9" s="1"/>
  <c r="AB25" i="9"/>
  <c r="Y33" i="9"/>
  <c r="AB26" i="9"/>
  <c r="P26" i="9"/>
  <c r="AI26" i="9" s="1"/>
  <c r="AB31" i="9"/>
  <c r="P31" i="9"/>
  <c r="AI31" i="9" s="1"/>
  <c r="O24" i="9"/>
  <c r="AA24" i="9"/>
  <c r="Z33" i="9"/>
  <c r="AB30" i="9"/>
  <c r="P30" i="9"/>
  <c r="AI30" i="9" s="1"/>
  <c r="AB57" i="11"/>
  <c r="AB53" i="11"/>
  <c r="AB54" i="11"/>
  <c r="AB51" i="11"/>
  <c r="AB48" i="11"/>
  <c r="AB56" i="11"/>
  <c r="AB55" i="11"/>
  <c r="AB52" i="11"/>
  <c r="AB50" i="11"/>
  <c r="D50" i="1"/>
  <c r="K27" i="1"/>
  <c r="K32" i="1"/>
  <c r="K25" i="1"/>
  <c r="C50" i="1"/>
  <c r="K20" i="1"/>
  <c r="K43" i="1"/>
  <c r="K45" i="1"/>
  <c r="K47" i="1"/>
  <c r="K38" i="1"/>
  <c r="K31" i="1"/>
  <c r="K24" i="1"/>
  <c r="K29" i="1"/>
  <c r="K26" i="1"/>
  <c r="I21" i="1"/>
  <c r="F9" i="11" s="1"/>
  <c r="I48" i="1"/>
  <c r="G48" i="1"/>
  <c r="H21" i="1"/>
  <c r="E9" i="11" s="1"/>
  <c r="G21" i="1"/>
  <c r="D9" i="11" s="1"/>
  <c r="F21" i="1"/>
  <c r="C9" i="11" s="1"/>
  <c r="F48" i="1"/>
  <c r="E48" i="1"/>
  <c r="E21" i="1"/>
  <c r="B9" i="11" s="1"/>
  <c r="O35" i="9" l="1"/>
  <c r="O53" i="9" s="1"/>
  <c r="F10" i="11"/>
  <c r="G10" i="11"/>
  <c r="E10" i="11"/>
  <c r="D10" i="11"/>
  <c r="C10" i="11"/>
  <c r="Q31" i="9"/>
  <c r="AJ31" i="9" s="1"/>
  <c r="AC31" i="9"/>
  <c r="R31" i="9" s="1"/>
  <c r="AA33" i="9"/>
  <c r="P34" i="9" s="1"/>
  <c r="P37" i="9" s="1"/>
  <c r="AB24" i="9"/>
  <c r="P24" i="9"/>
  <c r="P35" i="9" s="1"/>
  <c r="Q28" i="9"/>
  <c r="AJ28" i="9" s="1"/>
  <c r="AC28" i="9"/>
  <c r="R28" i="9" s="1"/>
  <c r="Q30" i="9"/>
  <c r="AJ30" i="9" s="1"/>
  <c r="AC30" i="9"/>
  <c r="R30" i="9" s="1"/>
  <c r="Q29" i="9"/>
  <c r="AJ29" i="9" s="1"/>
  <c r="AC29" i="9"/>
  <c r="R29" i="9" s="1"/>
  <c r="Q25" i="9"/>
  <c r="AJ25" i="9" s="1"/>
  <c r="AC25" i="9"/>
  <c r="R25" i="9" s="1"/>
  <c r="Q32" i="9"/>
  <c r="AJ32" i="9" s="1"/>
  <c r="AC32" i="9"/>
  <c r="R32" i="9" s="1"/>
  <c r="AH24" i="9"/>
  <c r="Q26" i="9"/>
  <c r="AJ26" i="9" s="1"/>
  <c r="AC26" i="9"/>
  <c r="R26" i="9" s="1"/>
  <c r="Q27" i="9"/>
  <c r="AJ27" i="9" s="1"/>
  <c r="AC27" i="9"/>
  <c r="R27" i="9" s="1"/>
  <c r="F35" i="1"/>
  <c r="I12" i="1"/>
  <c r="I7" i="1" s="1"/>
  <c r="J12" i="1"/>
  <c r="J7" i="1" s="1"/>
  <c r="H12" i="1"/>
  <c r="H7" i="1" s="1"/>
  <c r="H35" i="1"/>
  <c r="G35" i="1"/>
  <c r="I35" i="1"/>
  <c r="J35" i="1"/>
  <c r="F12" i="1"/>
  <c r="F7" i="1" s="1"/>
  <c r="G12" i="1"/>
  <c r="G7" i="1" s="1"/>
  <c r="B5" i="3"/>
  <c r="B6" i="3" s="1"/>
  <c r="B4" i="3"/>
  <c r="Q24" i="9" l="1"/>
  <c r="Q35" i="9" s="1"/>
  <c r="AC24" i="9"/>
  <c r="AB33" i="9"/>
  <c r="P53" i="9"/>
  <c r="AI24" i="9"/>
  <c r="E30" i="2"/>
  <c r="H9" i="2"/>
  <c r="H30" i="2" s="1"/>
  <c r="G9" i="2"/>
  <c r="G30" i="2" s="1"/>
  <c r="F9" i="2"/>
  <c r="F30" i="2" s="1"/>
  <c r="E9" i="2"/>
  <c r="D9" i="2"/>
  <c r="D30" i="2" s="1"/>
  <c r="D28" i="2"/>
  <c r="H28" i="2"/>
  <c r="G28" i="2"/>
  <c r="F28" i="2"/>
  <c r="E28" i="2"/>
  <c r="R24" i="9" l="1"/>
  <c r="R35" i="9" s="1"/>
  <c r="AC33" i="9"/>
  <c r="Q53" i="9"/>
  <c r="AJ24" i="9"/>
  <c r="J23" i="1"/>
  <c r="H33" i="1"/>
  <c r="I57" i="11" s="1"/>
  <c r="G33" i="1"/>
  <c r="G57" i="11" s="1"/>
  <c r="F33" i="1"/>
  <c r="E57" i="11" s="1"/>
  <c r="E33" i="1"/>
  <c r="C57" i="11" s="1"/>
  <c r="F56" i="11" l="1"/>
  <c r="F48" i="11"/>
  <c r="F51" i="11"/>
  <c r="F57" i="11"/>
  <c r="F52" i="11"/>
  <c r="F55" i="11"/>
  <c r="F50" i="11"/>
  <c r="F54" i="11"/>
  <c r="F53" i="11"/>
  <c r="F49" i="11"/>
  <c r="D50" i="11"/>
  <c r="D49" i="11"/>
  <c r="D54" i="11"/>
  <c r="D57" i="11"/>
  <c r="D53" i="11"/>
  <c r="D52" i="11"/>
  <c r="D51" i="11"/>
  <c r="D55" i="11"/>
  <c r="D56" i="11"/>
  <c r="D48" i="11"/>
  <c r="H57" i="11"/>
  <c r="H52" i="11"/>
  <c r="H56" i="11"/>
  <c r="H50" i="11"/>
  <c r="H55" i="11"/>
  <c r="H51" i="11"/>
  <c r="H54" i="11"/>
  <c r="H49" i="11"/>
  <c r="H48" i="11"/>
  <c r="H53" i="11"/>
  <c r="J57" i="11"/>
  <c r="J55" i="11"/>
  <c r="J51" i="11"/>
  <c r="J54" i="11"/>
  <c r="J53" i="11"/>
  <c r="J52" i="11"/>
  <c r="J56" i="11"/>
  <c r="J49" i="11"/>
  <c r="J48" i="11"/>
  <c r="J50" i="11"/>
  <c r="G23" i="1"/>
  <c r="F23" i="1"/>
  <c r="H23" i="1"/>
  <c r="I23" i="1"/>
  <c r="H50" i="1"/>
  <c r="F50" i="1"/>
  <c r="G50" i="1"/>
  <c r="I50" i="1"/>
  <c r="E50" i="1"/>
  <c r="E51" i="1" s="1"/>
  <c r="I51" i="1" l="1"/>
  <c r="I49" i="1"/>
  <c r="J49" i="1"/>
  <c r="F49" i="1"/>
  <c r="F51" i="1"/>
  <c r="G49" i="1"/>
  <c r="G51" i="1"/>
  <c r="H51" i="1"/>
  <c r="H49" i="1"/>
  <c r="R52" i="9" l="1"/>
  <c r="R34" i="9" l="1"/>
  <c r="R37" i="9" s="1"/>
  <c r="G11" i="10"/>
  <c r="G14" i="10" s="1"/>
  <c r="G26" i="10" s="1"/>
  <c r="H26" i="10" s="1"/>
  <c r="G27" i="10" s="1"/>
  <c r="G34" i="10" s="1"/>
  <c r="C36" i="10" s="1"/>
  <c r="H24" i="5" s="1"/>
  <c r="AK25" i="9" l="1"/>
  <c r="AK27" i="9"/>
  <c r="AK26" i="9"/>
  <c r="AK30" i="9"/>
  <c r="AK29" i="9"/>
  <c r="AK31" i="9"/>
  <c r="AK24" i="9"/>
  <c r="AK32" i="9"/>
  <c r="AK28" i="9"/>
  <c r="R53" i="9" l="1"/>
  <c r="M53" i="9" l="1"/>
  <c r="M52" i="9"/>
  <c r="M12" i="9"/>
  <c r="L52" i="9" l="1"/>
  <c r="AE33" i="9"/>
  <c r="L34" i="9"/>
  <c r="L24" i="9" s="1"/>
  <c r="L29" i="9" l="1"/>
  <c r="AE29" i="9" s="1"/>
  <c r="L32" i="9"/>
  <c r="AE32" i="9" s="1"/>
  <c r="L31" i="9"/>
  <c r="AE31" i="9" s="1"/>
  <c r="L30" i="9"/>
  <c r="AE30" i="9" s="1"/>
  <c r="L27" i="9"/>
  <c r="AE27" i="9" s="1"/>
  <c r="AE24" i="9"/>
  <c r="L25" i="9"/>
  <c r="AE25" i="9" s="1"/>
  <c r="L26" i="9"/>
  <c r="AE26" i="9" s="1"/>
  <c r="L28" i="9"/>
  <c r="AE28" i="9" s="1"/>
  <c r="L35" i="9" l="1"/>
  <c r="L53" i="9" s="1"/>
  <c r="L14" i="5"/>
  <c r="K14" i="5"/>
  <c r="J14" i="5"/>
  <c r="I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0" authorId="0" shapeId="0" xr:uid="{F47A2C32-7225-415F-94EE-12289AEDD0D3}">
      <text>
        <r>
          <rPr>
            <b/>
            <sz val="9"/>
            <color indexed="81"/>
            <rFont val="Tahoma"/>
            <family val="2"/>
          </rPr>
          <t xml:space="preserve">User: </t>
        </r>
        <r>
          <rPr>
            <sz val="9"/>
            <color indexed="81"/>
            <rFont val="Tahoma"/>
            <family val="2"/>
          </rPr>
          <t>No debería ser un ingreso real, aunque tampoco se encuentra la contrapartida (devolución).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0" authorId="0" shapeId="0" xr:uid="{9B194FED-D17F-4BED-83D6-DB3E6AF055F1}">
      <text>
        <r>
          <rPr>
            <b/>
            <sz val="9"/>
            <color indexed="81"/>
            <rFont val="Tahoma"/>
            <family val="2"/>
          </rPr>
          <t xml:space="preserve">User: </t>
        </r>
        <r>
          <rPr>
            <sz val="9"/>
            <color indexed="81"/>
            <rFont val="Tahoma"/>
            <family val="2"/>
          </rPr>
          <t>No debería ser un ingreso real, aunque tampoco se encuentra la contrapartida (devolución).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32" authorId="0" shapeId="0" xr:uid="{CA779802-C695-4949-8662-F08CD6B766D0}">
      <text>
        <r>
          <rPr>
            <b/>
            <sz val="9"/>
            <color indexed="81"/>
            <rFont val="Tahoma"/>
            <family val="2"/>
          </rPr>
          <t>Metodología de DAMODARAN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32" authorId="0" shapeId="0" xr:uid="{992F7A09-AFDE-4373-BA59-1B1DAB94A961}">
      <text>
        <r>
          <rPr>
            <b/>
            <sz val="9"/>
            <color indexed="81"/>
            <rFont val="Tahoma"/>
            <family val="2"/>
          </rPr>
          <t>Metodología de DAMODARAN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<sst xmlns="http://schemas.openxmlformats.org/spreadsheetml/2006/main" count="651" uniqueCount="450">
  <si>
    <t>Concepto</t>
  </si>
  <si>
    <t>Año 2016</t>
  </si>
  <si>
    <t>Año 2014</t>
  </si>
  <si>
    <t>ARRENDAMIENTOS - IDEXUD</t>
  </si>
  <si>
    <t>COMPRA DE EQUIPO  - IDEXUD</t>
  </si>
  <si>
    <t>GASTOS DE TRANSPORTE Y COMUNICACIÓN  - IDEXUD</t>
  </si>
  <si>
    <t>HONORARIOS - IDEXUD</t>
  </si>
  <si>
    <t>IMPRESOS Y PUBLICACIONES - IDEXUD</t>
  </si>
  <si>
    <t>IMPREVISTOS - IDEXUD</t>
  </si>
  <si>
    <t>INFORMACION Y COMUNICACIONES - IDEXUD</t>
  </si>
  <si>
    <t>MANTENIMIENTO Y REPARACIONES - IDEXUD</t>
  </si>
  <si>
    <t>MATERIALES Y SUMINISTROS - IDEXUD</t>
  </si>
  <si>
    <t>REMUNERACION SERVICIOS TECNICOS - IDEXUD</t>
  </si>
  <si>
    <t>SEGUROS - IDEXUD</t>
  </si>
  <si>
    <t>SERVICIOS PUBLICOS - IDEXUD</t>
  </si>
  <si>
    <t>GMF</t>
  </si>
  <si>
    <t>Intereses</t>
  </si>
  <si>
    <t>Gastos financieros</t>
  </si>
  <si>
    <t>Fondo Idexud</t>
  </si>
  <si>
    <t>Rendimientos</t>
  </si>
  <si>
    <t>Beneficio Institucional</t>
  </si>
  <si>
    <t>Año 2015</t>
  </si>
  <si>
    <t>Año 2017</t>
  </si>
  <si>
    <t>Año 2018</t>
  </si>
  <si>
    <t>ADQUISICION DE SERVICIOS - IDEXUD</t>
  </si>
  <si>
    <t>CAPACITACION - IDEXUD</t>
  </si>
  <si>
    <t>IMPUESTOS, TASAS, Y MULTAS - IDEXUD</t>
  </si>
  <si>
    <t>Ingresos alquiler</t>
  </si>
  <si>
    <t>Estampilla fondo</t>
  </si>
  <si>
    <t>Estampilla Casanare</t>
  </si>
  <si>
    <t>Ingresos</t>
  </si>
  <si>
    <t>Total Ingresos</t>
  </si>
  <si>
    <t>Costo prestación de servicios</t>
  </si>
  <si>
    <t>Gastos</t>
  </si>
  <si>
    <t>Total Gastos</t>
  </si>
  <si>
    <t>Utilidad</t>
  </si>
  <si>
    <t>SENTENCIAS JUDICIALES - IDEXUD</t>
  </si>
  <si>
    <t>Honorarios - Idexud</t>
  </si>
  <si>
    <t>Seguros - Idexud</t>
  </si>
  <si>
    <t>Arrendamientos - Idexud</t>
  </si>
  <si>
    <t>Capacitacion - Idexud</t>
  </si>
  <si>
    <t>Adquisicion de servicios - Idexud</t>
  </si>
  <si>
    <t>Remuneracion servicios tecnicos - Idexud</t>
  </si>
  <si>
    <t>Compra de equipo  - Idexud</t>
  </si>
  <si>
    <t>Total costos</t>
  </si>
  <si>
    <t>Imprevistos - Idexud</t>
  </si>
  <si>
    <t>Gastos de Transporte y comunicación  - Idexud</t>
  </si>
  <si>
    <t>Impresos y publicaciones - Idexud</t>
  </si>
  <si>
    <t>Impuestos, tasas, y multas - Idexud</t>
  </si>
  <si>
    <t>Informacion y comunicaciones - Idexud</t>
  </si>
  <si>
    <t>Mantenimiento y reparaciones - Idexud</t>
  </si>
  <si>
    <t>Materiales y suministros - Idexud</t>
  </si>
  <si>
    <t>Sentencias judiciales - Idexud</t>
  </si>
  <si>
    <t>Servicios publicos - Idexud</t>
  </si>
  <si>
    <t>1. Sumatoria de los gastos definidos</t>
  </si>
  <si>
    <t>2. Beneficio Institucional 12%</t>
  </si>
  <si>
    <t xml:space="preserve">3. Porcentaje destinado al presupuesto del Idexud 40 % </t>
  </si>
  <si>
    <t>S/N SIIGO</t>
  </si>
  <si>
    <t>Diferencia</t>
  </si>
  <si>
    <t>%</t>
  </si>
  <si>
    <t>Otros ingresos</t>
  </si>
  <si>
    <t>Prestamos entre convenios</t>
  </si>
  <si>
    <t>Otros</t>
  </si>
  <si>
    <t>Año 2013</t>
  </si>
  <si>
    <t>Año 2012</t>
  </si>
  <si>
    <t>VARIOS</t>
  </si>
  <si>
    <t>Año 2019</t>
  </si>
  <si>
    <t>Año 2020</t>
  </si>
  <si>
    <t>Año 2021</t>
  </si>
  <si>
    <t>Año 2022</t>
  </si>
  <si>
    <t>Año 2023</t>
  </si>
  <si>
    <t>Año 2024</t>
  </si>
  <si>
    <t>Proyección Estado de Resultados 2020 al 2024</t>
  </si>
  <si>
    <t>Ejercicio realizado por INVESTORS GROUP Ltda - K-tedra</t>
  </si>
  <si>
    <t>Modelo de Valoración IDEXUD</t>
  </si>
  <si>
    <t>Optimista</t>
  </si>
  <si>
    <t>Estable</t>
  </si>
  <si>
    <t>Pesimista</t>
  </si>
  <si>
    <t>FLUJO DE CAJA LIBRE</t>
  </si>
  <si>
    <t>Año 2020 Py</t>
  </si>
  <si>
    <t>Año 2021 Py</t>
  </si>
  <si>
    <t>Año 2022 Py</t>
  </si>
  <si>
    <t>Año 2023 Py</t>
  </si>
  <si>
    <t>Año 2024 Py</t>
  </si>
  <si>
    <t>Valor Terminal</t>
  </si>
  <si>
    <t>Depreciación</t>
  </si>
  <si>
    <t>Ctas x Pagar con Proveedores</t>
  </si>
  <si>
    <t>TOTAL INGRESOS OPERACIONALES</t>
  </si>
  <si>
    <t>Egresos</t>
  </si>
  <si>
    <t>Efectivo</t>
  </si>
  <si>
    <t>Cartera</t>
  </si>
  <si>
    <t>Inventarios</t>
  </si>
  <si>
    <t>Requermtos. Cap. de Trabajo</t>
  </si>
  <si>
    <t>Inversión en Act. Fijos o Inv Capital</t>
  </si>
  <si>
    <t>PLAN DE INVERSIÓN</t>
  </si>
  <si>
    <t>Servicio de la Deuda</t>
  </si>
  <si>
    <t>Tasa de Descuento del Accionista</t>
  </si>
  <si>
    <t>Factor de descuento</t>
  </si>
  <si>
    <t>Curva Títulos TES</t>
  </si>
  <si>
    <t>Beta</t>
  </si>
  <si>
    <t>RiesgoInversionista</t>
  </si>
  <si>
    <t>Valor Presente FCL</t>
  </si>
  <si>
    <t xml:space="preserve">Utilidad Operacional </t>
  </si>
  <si>
    <t>Valoración bajo NIIF</t>
  </si>
  <si>
    <t>Date updated:</t>
  </si>
  <si>
    <t>YouTube Video explaining estimation choices and process.</t>
  </si>
  <si>
    <t>Created by:</t>
  </si>
  <si>
    <t>Aswath Damodaran, adamodar@stern.nyu.edu</t>
  </si>
  <si>
    <t>What is this data?</t>
  </si>
  <si>
    <t>Beta, Unlevered beta and other risk measures</t>
  </si>
  <si>
    <t>US companies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</si>
  <si>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</si>
  <si>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</si>
  <si>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</si>
  <si>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</si>
  <si>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</si>
  <si>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</si>
  <si>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</si>
  <si>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</si>
  <si>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Do you want to use marginal or effective tax rates in unlevering betas?</t>
  </si>
  <si>
    <t>Marginal</t>
  </si>
  <si>
    <t>If marginal tax rate, enter the marginal tax rate to use</t>
  </si>
  <si>
    <t>No.</t>
  </si>
  <si>
    <t>Industry  Name</t>
  </si>
  <si>
    <t>Number of firms</t>
  </si>
  <si>
    <t xml:space="preserve">Beta </t>
  </si>
  <si>
    <t>D/E Ratio</t>
  </si>
  <si>
    <t>Effective Tax rate</t>
  </si>
  <si>
    <t>Unlevered beta</t>
  </si>
  <si>
    <t>Cash/Firm value</t>
  </si>
  <si>
    <t>Unlevered beta corrected for cash</t>
  </si>
  <si>
    <t>Advertising</t>
  </si>
  <si>
    <t>Aerospace/Defense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</si>
  <si>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</si>
  <si>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</si>
  <si>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</si>
  <si>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</si>
  <si>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</si>
  <si>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</si>
  <si>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</si>
  <si>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</si>
  <si>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</si>
  <si>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</si>
  <si>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</si>
  <si>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</si>
  <si>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</si>
  <si>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</si>
  <si>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</si>
  <si>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</si>
  <si>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</si>
  <si>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</si>
  <si>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</si>
  <si>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</si>
  <si>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</si>
  <si>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</si>
  <si>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</si>
  <si>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</si>
  <si>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</si>
  <si>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</si>
  <si>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</si>
  <si>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</si>
  <si>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</si>
  <si>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</si>
  <si>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</si>
  <si>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</si>
  <si>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</si>
  <si>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</si>
  <si>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</si>
  <si>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</si>
  <si>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</si>
  <si>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</si>
  <si>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</si>
  <si>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</si>
  <si>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</si>
  <si>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</si>
  <si>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</si>
  <si>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</si>
  <si>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</si>
  <si>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</si>
  <si>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</si>
  <si>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</si>
  <si>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</si>
  <si>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</si>
  <si>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</si>
  <si>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</si>
  <si>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</si>
  <si>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</si>
  <si>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</si>
  <si>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</si>
  <si>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</si>
  <si>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</si>
  <si>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</si>
  <si>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</si>
  <si>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</si>
  <si>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</si>
  <si>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</si>
  <si>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</si>
  <si>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</si>
  <si>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</si>
  <si>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</si>
  <si>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</si>
  <si>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</si>
  <si>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</si>
  <si>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</si>
  <si>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</si>
  <si>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</si>
  <si>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</si>
  <si>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</si>
  <si>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</si>
  <si>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</si>
  <si>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</si>
  <si>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</si>
  <si>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</si>
  <si>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</si>
  <si>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</si>
  <si>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</si>
  <si>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</si>
  <si>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</si>
  <si>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</si>
  <si>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</si>
  <si>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</si>
  <si>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</si>
  <si>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</si>
  <si>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</si>
  <si>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</si>
  <si>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Total Market</t>
  </si>
  <si>
    <t>Total Market (without financials)</t>
  </si>
  <si>
    <t>Crecimiento Ingresos</t>
  </si>
  <si>
    <t>IPC</t>
  </si>
  <si>
    <t>IPC Proyección</t>
  </si>
  <si>
    <t>Ponderación Estimación</t>
  </si>
  <si>
    <t>IncrementoSalarial</t>
  </si>
  <si>
    <t>MENÚ-RESUMEN</t>
  </si>
  <si>
    <t>INGRESOS</t>
  </si>
  <si>
    <t>GASTOS</t>
  </si>
  <si>
    <t>COSTOS</t>
  </si>
  <si>
    <t>Valoración IDEXUD</t>
  </si>
  <si>
    <t>2020 M1</t>
  </si>
  <si>
    <t>2020 M2</t>
  </si>
  <si>
    <t>2020 M3</t>
  </si>
  <si>
    <t>2020-M2</t>
  </si>
  <si>
    <t>2020-M1</t>
  </si>
  <si>
    <t>2020-M3</t>
  </si>
  <si>
    <t>Supuestos Modelación</t>
  </si>
  <si>
    <t>Análisis de Ingresos y Costos</t>
  </si>
  <si>
    <t>Tasa de Crecimiento</t>
  </si>
  <si>
    <t>Año 2020 M1</t>
  </si>
  <si>
    <t>Año 2020 M2</t>
  </si>
  <si>
    <t>Año 2020 M3</t>
  </si>
  <si>
    <t>No</t>
  </si>
  <si>
    <t>NOMBRE DEL FONDO ADMINISTRADO</t>
  </si>
  <si>
    <t>Comisión por Administración</t>
  </si>
  <si>
    <t>JENARO DIAZ JORDAN</t>
  </si>
  <si>
    <t>COMFENALCO ANTIOQUIA</t>
  </si>
  <si>
    <t>MUNICIPIO DE CARMEN DE VIBORAL</t>
  </si>
  <si>
    <t>FUND EDTVA PBRO JOSE DE CORREA</t>
  </si>
  <si>
    <t>FONDO MUNICIPIO DE CAUCASIA ICETEX</t>
  </si>
  <si>
    <t>ICA BIRF ICETEX</t>
  </si>
  <si>
    <t>FCO DE PAULA SANTANDER</t>
  </si>
  <si>
    <t>MUNICIPIO DE SAN VICENTE</t>
  </si>
  <si>
    <t>COMFAMILIAR ATLANTICO</t>
  </si>
  <si>
    <t>MUNICIPIO DE CONTRATACION</t>
  </si>
  <si>
    <t>MUNICIPIO DE TAURAMENA</t>
  </si>
  <si>
    <t>MUNICIPIO DE AGUAZUL ICETEX</t>
  </si>
  <si>
    <t>CORPORACION DEL NIÑO ALEGRE ICETEX</t>
  </si>
  <si>
    <t>YANITH CUEVAS</t>
  </si>
  <si>
    <t>MUNICIPIO DE AGUAZUL</t>
  </si>
  <si>
    <t>FONDO MUNICIPIO DE OROCUE</t>
  </si>
  <si>
    <t>COMITE DEPARTAMENTAL DE CAFETEROS DEL VALLE DEL CA</t>
  </si>
  <si>
    <t>FONDO CLINICA CARLOS ARDILA LULE FOSCAL</t>
  </si>
  <si>
    <t>MUNICIPIO DE URIBIA</t>
  </si>
  <si>
    <t>MUNICIPIO DE RIO VIEJO</t>
  </si>
  <si>
    <t>MUNICIPIO DE GUATAPE</t>
  </si>
  <si>
    <t>MUNICIPIO DE PUERTO PARRA</t>
  </si>
  <si>
    <t>FONDO MUNICIPIO DE SABANALARGA CASANARE</t>
  </si>
  <si>
    <t>MUNICIPIO DE SABANETA</t>
  </si>
  <si>
    <t>MUNICIPIO DE GUADALUPE</t>
  </si>
  <si>
    <t>DEPARTAMENTO DE LA GUAJIRA</t>
  </si>
  <si>
    <t>MUNICIPIO DE EL PEÑOL</t>
  </si>
  <si>
    <t>MUNICIPIO DE ALEJANDRIA</t>
  </si>
  <si>
    <t>MUNICIPIO DE PURIFICACION</t>
  </si>
  <si>
    <t>MUNICIPIO DE HATONUEVO</t>
  </si>
  <si>
    <t>INTERAMERICANA DE PRODUCTOS QUIMICOS</t>
  </si>
  <si>
    <t>FONDO DEPARTAMENTO DE ANTIOQUIA</t>
  </si>
  <si>
    <t>MUNICIPIO DE BARRANCABERMEJA</t>
  </si>
  <si>
    <t>DEPARTAMENTO DE RISARALDA</t>
  </si>
  <si>
    <t>FONDO AGENDA DE CONECTIVIDAD</t>
  </si>
  <si>
    <t>DEPARTAMENTO DE VAUPES</t>
  </si>
  <si>
    <t>MINISTERIO DE HACIENDA Y CREDITO PUBLICO</t>
  </si>
  <si>
    <t>COMUNA 1 PRESUPUESTO PARTICIPATIVO</t>
  </si>
  <si>
    <t>CAMINO A LA EDUCACION SUPERIOR PRESUPUESTO PARTICIPATIVO</t>
  </si>
  <si>
    <t>MUNICIPIO DE AIPE ICETEX</t>
  </si>
  <si>
    <t>ESAP CARLOS LLERAS RESTREPO</t>
  </si>
  <si>
    <t>MEN PRIMERA INFANCIA</t>
  </si>
  <si>
    <t>MUNICIPIO DE LA VICTORIA BOYACA</t>
  </si>
  <si>
    <t>FOMENTO A LA FORMACION POSTGRADUAL PARA DOCENTES Y</t>
  </si>
  <si>
    <t>FONDO ESPECIAL DE BECAS Y APOYOS FINANCIEROS</t>
  </si>
  <si>
    <t>MINISTERIO DE MINAS Y ENERGIA 010F 86</t>
  </si>
  <si>
    <t>DNP FONADE</t>
  </si>
  <si>
    <t>SUPERINTENDENCIA DE SOCIEDADES</t>
  </si>
  <si>
    <t>FONDO BID IGAC ICETEX</t>
  </si>
  <si>
    <t>MUNICIPIO DE GIRARDOTA</t>
  </si>
  <si>
    <t>MUNICIPIO DE MEDELLIN</t>
  </si>
  <si>
    <t>UNIBAN</t>
  </si>
  <si>
    <t>ECOPETROL ICETEX</t>
  </si>
  <si>
    <t>UNIVERSIDAD METROPOLITANA</t>
  </si>
  <si>
    <t>COMBARRANQUILLA</t>
  </si>
  <si>
    <t>CAJA DE COMPENSACION FAMILIAR DE BOYACA COMFABOY</t>
  </si>
  <si>
    <t>LUIS CARLOS GALAN SARMIENTO</t>
  </si>
  <si>
    <t>EDUCATIVO MERCEDES ABREGO ICETEX</t>
  </si>
  <si>
    <t>SUPERINTENDENCIA DE NOTARIADO Y REGISTRO FUNCIONA</t>
  </si>
  <si>
    <t>COLCIENCIAS BID II</t>
  </si>
  <si>
    <t>FONDO DEL DEPARTAMENTO DEL GUAINIA</t>
  </si>
  <si>
    <t>AERONAUTICA CIVIL</t>
  </si>
  <si>
    <t>FONDO EDUCATIVO ICBF CARLOS LLERAS RESTREPO ICETE</t>
  </si>
  <si>
    <t>SUPERINTENDENCIA DE INDUSTRIA Y COMERCIO</t>
  </si>
  <si>
    <t>MINISTERIO DE EDUCACION CAPACITACION FUN</t>
  </si>
  <si>
    <t>COLCIENCIAS BID III</t>
  </si>
  <si>
    <t>FONDO DE CAPACITACION DEL INPEC</t>
  </si>
  <si>
    <t>INSTITUTO AMAZONICO DE INVESTIGACIONES CIENTIFICAS</t>
  </si>
  <si>
    <t>SUPERINTENDENCIA DE SERVICIOS PUBLICOS DOMICILIARI</t>
  </si>
  <si>
    <t>MUNICIPIO INIRIDA GUANIA</t>
  </si>
  <si>
    <t>SUPERINTENDENCIA FINANCIERA</t>
  </si>
  <si>
    <t>SUPERINTENDENCIA DE NOTARIADO</t>
  </si>
  <si>
    <t>FONDO DEPARTAMENTO DE CUNDINAMARCA</t>
  </si>
  <si>
    <t>MUNICIPIO DE SILVANIA</t>
  </si>
  <si>
    <t>SECRETARIA DE EDUCACION DEL DISTRITO MEJORES BACHI</t>
  </si>
  <si>
    <t>CONTADURIA GENERAL DE LA NACION</t>
  </si>
  <si>
    <t>MUNICIPIO DE MADRID</t>
  </si>
  <si>
    <t>JUNTA CENTRAL DE CONTADORES</t>
  </si>
  <si>
    <t>SUPERINTENDENCIA DE LA ECONOM SOLIDARIA</t>
  </si>
  <si>
    <t>COLCIENCIAS DOCTORADOS NACIONALES</t>
  </si>
  <si>
    <t>SENA APOYOS DE SOSTENIMIENTO</t>
  </si>
  <si>
    <t>FONDO DESARROLLO LOCAL DE KENNEDY</t>
  </si>
  <si>
    <t>COLCIENCIAS FORMACION DE INVESTIGADORES MODALIDAD DOCTORADOS</t>
  </si>
  <si>
    <t>COLCIENCIAS COMISION FULBRIGHT</t>
  </si>
  <si>
    <t>MEN MOVILIDAD DOCENTES INVESTIGADORES Y ESTUDIANTES</t>
  </si>
  <si>
    <t>SENA FORMACION DE ALTO NIVEL</t>
  </si>
  <si>
    <t>INCODER</t>
  </si>
  <si>
    <t>FONDO SDH ICETEX</t>
  </si>
  <si>
    <t>FONDO MINISTERIO DEL TRABAJO ICETEX</t>
  </si>
  <si>
    <t>DEPARTAMENTO DE ARAUCA</t>
  </si>
  <si>
    <t>ENLAZAMUNDOS</t>
  </si>
  <si>
    <t>DOCTORADOS GENERACION BICENTENARIO 2010</t>
  </si>
  <si>
    <t>SECRETARIA DE EDUCACION TECNICA Y TECOLOGICA</t>
  </si>
  <si>
    <t>DESARROLLO DEL TALENTO EN TI</t>
  </si>
  <si>
    <t>MEN MOVILIDAD DOCENTES T Y T</t>
  </si>
  <si>
    <t>DIRECCION NACIONAL DE INTELIGENCIA</t>
  </si>
  <si>
    <t>SERVIACTIVA</t>
  </si>
  <si>
    <t>FONDO FINANCIERA COOMULTRASAN</t>
  </si>
  <si>
    <t>CORFEINCO</t>
  </si>
  <si>
    <t>EPSIFARMA</t>
  </si>
  <si>
    <t>FONDO EN ADMINISTRACION ICETEX DEPARTAMENTO DEL ATLANTICO</t>
  </si>
  <si>
    <t>APC COLOMBIA CAPACITACION SERVIDORES</t>
  </si>
  <si>
    <t>SED FORMACION AVANZADA PARA DOCENTES CONVENIO 2012</t>
  </si>
  <si>
    <t>FONDO TSP PSP</t>
  </si>
  <si>
    <t>ALCALDIA LOCAL DE BOSA</t>
  </si>
  <si>
    <t>FONDO EN ADMINISTRACION ICETEX COLDEPORTES</t>
  </si>
  <si>
    <t>FONDO AGR ICETEX</t>
  </si>
  <si>
    <t>FARMADISA SUPERIOR</t>
  </si>
  <si>
    <t>SANITAS CPS</t>
  </si>
  <si>
    <t>SUPERATE CON EL SABER</t>
  </si>
  <si>
    <t>LIDERES AFRODESCENDIENTES</t>
  </si>
  <si>
    <t>INSTITUTO NACIONAL DE MEDICINA LEGAL 2013</t>
  </si>
  <si>
    <t>PROFESIONALIZACION ARTE Y DEPORTE EN BOGOTA HUMANA</t>
  </si>
  <si>
    <t>AGENCIA NACIONAL DE HIDROCARBUROS ICETEX</t>
  </si>
  <si>
    <t>MOVILIDAD CON EL GOBIERNO FRANCES</t>
  </si>
  <si>
    <t>FORMACION POSGRADUAL CONTRATO PLAN ATRATO GRAN DARIEN</t>
  </si>
  <si>
    <t>CONTRATO PLAN ATRATO GRAN DARIEN ANTIOQUIA</t>
  </si>
  <si>
    <t>SIDIS FUNCIONARIOS ICETEX</t>
  </si>
  <si>
    <t>ALIANZA ESTRATEGICA AGENCIA SAPIENCIA</t>
  </si>
  <si>
    <t>FONDEA BOGUN</t>
  </si>
  <si>
    <t>FONDO MINSALUD ICETEX</t>
  </si>
  <si>
    <t>SENA FIE INCENTIVOS A LA EXCELENCIA</t>
  </si>
  <si>
    <t>MUNICIPIO DE CALI SUP</t>
  </si>
  <si>
    <t>BARRANCABERMEJA PERIODI Y COM SOCIALES</t>
  </si>
  <si>
    <t>FONDO ESTIMULOS INVESTIGACION CIENTIFICA</t>
  </si>
  <si>
    <t>FONDO USUARIOS DEL SERVICIO PUBLICO DE EMPLEO</t>
  </si>
  <si>
    <t>JOVENES VICTIMAS DE CONFLICTO ARMADO PAIS</t>
  </si>
  <si>
    <t>SENA APOYO SOSTENIMIENTO</t>
  </si>
  <si>
    <t>MINISTERIO DE SALUD Y PROTECCION SOCIAL GASTOS AL FONDO</t>
  </si>
  <si>
    <t>FONDO EN ADMON DE EDUCACION ICFES ICETEX</t>
  </si>
  <si>
    <t>MEN POSGRADOS PARA LAS REGIONES 1490 2013</t>
  </si>
  <si>
    <t>MEN LIDERES AFRODESCENCIENTES 1493 2013</t>
  </si>
  <si>
    <t>MINHACIENDA INTERIOR DEL PAIS</t>
  </si>
  <si>
    <t>FONDO PARA LA GESTION PERTINENTE DE LAS TI</t>
  </si>
  <si>
    <t>JOVENES INGENIEROS ALEMANIA CONVENIO 192 DE 2014</t>
  </si>
  <si>
    <t>COOPEOCCIDENTE</t>
  </si>
  <si>
    <t>FONDO EDUMINTIC</t>
  </si>
  <si>
    <t>SER PILO SI PAGA</t>
  </si>
  <si>
    <t>FONDO DE PROMOCION DE GOBIERNO Y EMPRESA TI</t>
  </si>
  <si>
    <t>FRADEC</t>
  </si>
  <si>
    <t>FONDO PARA LA EDUCACION BASICA Y MEDIA BENEFICIAR</t>
  </si>
  <si>
    <t>FONDO COOPERAGRO EC EDUCACION SUPERIOR</t>
  </si>
  <si>
    <t>SENA - FONDO INCENTIVO A LA EXCELENCIA</t>
  </si>
  <si>
    <t>FORMACION EN MAESTRIAS DEPARTAMENTO DEL ATLANTICO</t>
  </si>
  <si>
    <t>FONDO DE APOYO PARA EDUCACION SUPERIOR</t>
  </si>
  <si>
    <t>EXCELENCIA DOCENTE DE EDUCACION P B Y M</t>
  </si>
  <si>
    <t>FONDO DE EDUCACION COOPSANSIMON SOMOS TODOS</t>
  </si>
  <si>
    <t>FONDO CUENTA CONCEJO DE BOGOTA DC SDH</t>
  </si>
  <si>
    <t>FONDO DE INTEGRACION PERTINENTE DE LAS TI</t>
  </si>
  <si>
    <t>DNP SGR REGALIAS QUE EDUCAN</t>
  </si>
  <si>
    <t>EXCELENCIA DOCENTE DE EDUCACION P B Y M 2016</t>
  </si>
  <si>
    <t>COLOMBIA CREATIVA TERCERA GENERACION</t>
  </si>
  <si>
    <t>FONDO DEPTO CUNDINAMARCA ANDES ICETEX</t>
  </si>
  <si>
    <t>FONDO OLEODUCTO BICENTENARIO DE COLOMBIA</t>
  </si>
  <si>
    <t>ESTIMULOS ECONOMICOS PARA FORMACION EN POSGRADOS</t>
  </si>
  <si>
    <t>FONDO DAPRE 2015 2016</t>
  </si>
  <si>
    <t>FONDO MINISTERIO DE CULTURA U EXTERNADO</t>
  </si>
  <si>
    <t>CAMINO A LA EDUCACION SUPERIOR Y COMUNA UNO</t>
  </si>
  <si>
    <t>SER PILO PAGA 3</t>
  </si>
  <si>
    <t>APOYO MOVILIDAD ESTUDIANTIL ALIANZA PACIFICO 2017</t>
  </si>
  <si>
    <t>APOYO FINANCIERO PARA ESTUDIANTES CON DISCAPACIDAD EN EDUCACION SUPERIOR</t>
  </si>
  <si>
    <t>SER PILO PAGA 4</t>
  </si>
  <si>
    <t>FONDO APOYO A MOVILIDAD ESTUDIANTIL Y ACADEMICA DE LA ALIANZA PACIFICO-APC COLOMBIA / ICETEX</t>
  </si>
  <si>
    <t>POBLACION DISCAPACITADA DEL DEPARTAMENTO DE ARAUCA</t>
  </si>
  <si>
    <t>FONDO DE CRÉDITO EDUCATIVO AL INTERIOR DEL PAÍS MINHACIENDA - ICETEX</t>
  </si>
  <si>
    <t>DEPTO ADTIVO DEL SERV CIVIL FDO HIJOS DE</t>
  </si>
  <si>
    <t>Promedio</t>
  </si>
  <si>
    <t>Var ING (%)</t>
  </si>
  <si>
    <t>Var COT (%)</t>
  </si>
  <si>
    <t>Var GAT (%)</t>
  </si>
  <si>
    <t>Var UTD (%)</t>
  </si>
  <si>
    <t>PART UTD (%)</t>
  </si>
  <si>
    <t>Total costos (PE)</t>
  </si>
  <si>
    <t>Utilidad (PE)</t>
  </si>
  <si>
    <t>Total Costos Estimados</t>
  </si>
  <si>
    <t>Utilidad Estimada</t>
  </si>
  <si>
    <t>ICETEX vs FIDUCIARIAS</t>
  </si>
  <si>
    <t>FIDUCIARIAS</t>
  </si>
  <si>
    <t>ICETEX</t>
  </si>
  <si>
    <t>FIDUCIARIA</t>
  </si>
  <si>
    <t>Max</t>
  </si>
  <si>
    <t>Min</t>
  </si>
  <si>
    <t>Fiduprevisora</t>
  </si>
  <si>
    <t>FiduColombia</t>
  </si>
  <si>
    <t>FiduBogotá</t>
  </si>
  <si>
    <t>Rango</t>
  </si>
  <si>
    <t>Recursos Adm.</t>
  </si>
  <si>
    <t>Costo</t>
  </si>
  <si>
    <t>Part (%)</t>
  </si>
  <si>
    <t>Año</t>
  </si>
  <si>
    <t>IDEXUD</t>
  </si>
  <si>
    <t>FONDOS ICETEX</t>
  </si>
  <si>
    <t>UTILIDAD</t>
  </si>
  <si>
    <t>Modelación en Equilibrio</t>
  </si>
  <si>
    <t>Modelación en VP con excedentes</t>
  </si>
  <si>
    <t>M1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</si>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</sst>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_-"/>
    <numFmt numFmtId="168" formatCode="0.0%"/>
    <numFmt numFmtId="169" formatCode="_-* #,##0.0_-;\-* #,##0.0_-;_-* &quot;-&quot;?_-;_-@_-"/>
    <numFmt numFmtId="170" formatCode="_-* #,##0_-;\-* #,##0_-;_-* &quot;-&quot;?_-;_-@_-"/>
    <numFmt numFmtId="171" formatCode="_-* #,##0.000_-;\-* #,##0.000_-;_-* &quot;-&quot;_-;_-@_-"/>
    <numFmt numFmtId="172" formatCode="_-* #,##0.00_-;\-* #,##0.00_-;_-* &quot;-&quot;_-;_-@_-"/>
    <numFmt numFmtId="173" formatCode="0.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Verdana"/>
      <family val="2"/>
    </font>
    <font>
      <b/>
      <sz val="3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4"/>
      </left>
      <right style="medium">
        <color theme="4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4"/>
      </left>
      <right style="medium">
        <color theme="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166" fontId="0" fillId="0" borderId="0" xfId="1" applyNumberFormat="1" applyFont="1"/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165" fontId="0" fillId="0" borderId="0" xfId="1" applyFont="1"/>
    <xf numFmtId="0" fontId="2" fillId="0" borderId="1" xfId="0" applyFont="1" applyBorder="1"/>
    <xf numFmtId="0" fontId="2" fillId="0" borderId="0" xfId="0" applyFont="1"/>
    <xf numFmtId="166" fontId="2" fillId="0" borderId="0" xfId="1" applyNumberFormat="1" applyFont="1"/>
    <xf numFmtId="0" fontId="2" fillId="0" borderId="1" xfId="0" applyFont="1" applyFill="1" applyBorder="1"/>
    <xf numFmtId="165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/>
    <xf numFmtId="166" fontId="2" fillId="0" borderId="0" xfId="1" applyNumberFormat="1" applyFont="1" applyAlignment="1">
      <alignment horizontal="center"/>
    </xf>
    <xf numFmtId="165" fontId="2" fillId="0" borderId="0" xfId="1" applyFont="1"/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0" fillId="0" borderId="0" xfId="2" applyNumberFormat="1" applyFont="1"/>
    <xf numFmtId="167" fontId="0" fillId="0" borderId="0" xfId="1" applyNumberFormat="1" applyFont="1"/>
    <xf numFmtId="166" fontId="1" fillId="0" borderId="0" xfId="4" applyNumberFormat="1" applyFont="1"/>
    <xf numFmtId="0" fontId="1" fillId="0" borderId="0" xfId="5"/>
    <xf numFmtId="0" fontId="8" fillId="0" borderId="0" xfId="6" applyFont="1"/>
    <xf numFmtId="166" fontId="6" fillId="3" borderId="0" xfId="1" applyNumberFormat="1" applyFont="1" applyFill="1"/>
    <xf numFmtId="166" fontId="9" fillId="3" borderId="0" xfId="1" applyNumberFormat="1" applyFont="1" applyFill="1" applyAlignment="1">
      <alignment horizontal="center"/>
    </xf>
    <xf numFmtId="166" fontId="9" fillId="3" borderId="0" xfId="1" applyNumberFormat="1" applyFont="1" applyFill="1"/>
    <xf numFmtId="166" fontId="6" fillId="3" borderId="0" xfId="1" applyNumberFormat="1" applyFont="1" applyFill="1" applyBorder="1"/>
    <xf numFmtId="166" fontId="9" fillId="3" borderId="0" xfId="1" applyNumberFormat="1" applyFont="1" applyFill="1" applyBorder="1"/>
    <xf numFmtId="168" fontId="0" fillId="0" borderId="0" xfId="2" applyNumberFormat="1" applyFont="1"/>
    <xf numFmtId="166" fontId="0" fillId="0" borderId="0" xfId="2" applyNumberFormat="1" applyFont="1"/>
    <xf numFmtId="41" fontId="0" fillId="0" borderId="0" xfId="3" applyFont="1"/>
    <xf numFmtId="41" fontId="2" fillId="0" borderId="0" xfId="3" applyFont="1" applyAlignment="1">
      <alignment horizontal="center"/>
    </xf>
    <xf numFmtId="166" fontId="5" fillId="4" borderId="0" xfId="1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8" fontId="0" fillId="0" borderId="0" xfId="0" applyNumberFormat="1"/>
    <xf numFmtId="169" fontId="0" fillId="0" borderId="0" xfId="0" applyNumberFormat="1"/>
    <xf numFmtId="41" fontId="2" fillId="0" borderId="0" xfId="3" applyFont="1"/>
    <xf numFmtId="0" fontId="11" fillId="0" borderId="0" xfId="0" applyFont="1"/>
    <xf numFmtId="0" fontId="11" fillId="0" borderId="3" xfId="0" applyFont="1" applyBorder="1"/>
    <xf numFmtId="41" fontId="2" fillId="0" borderId="0" xfId="0" applyNumberFormat="1" applyFont="1"/>
    <xf numFmtId="171" fontId="2" fillId="0" borderId="0" xfId="3" applyNumberFormat="1" applyFont="1"/>
    <xf numFmtId="9" fontId="0" fillId="0" borderId="0" xfId="0" applyNumberFormat="1"/>
    <xf numFmtId="10" fontId="0" fillId="0" borderId="0" xfId="0" applyNumberFormat="1"/>
    <xf numFmtId="0" fontId="10" fillId="0" borderId="0" xfId="0" applyFont="1"/>
    <xf numFmtId="172" fontId="0" fillId="0" borderId="0" xfId="3" applyNumberFormat="1" applyFont="1"/>
    <xf numFmtId="41" fontId="0" fillId="0" borderId="0" xfId="0" applyNumberFormat="1"/>
    <xf numFmtId="164" fontId="0" fillId="0" borderId="0" xfId="0" applyNumberFormat="1"/>
    <xf numFmtId="41" fontId="5" fillId="5" borderId="0" xfId="3" applyFont="1" applyFill="1" applyAlignment="1">
      <alignment horizontal="center" vertical="center"/>
    </xf>
    <xf numFmtId="0" fontId="12" fillId="5" borderId="0" xfId="0" applyFont="1" applyFill="1"/>
    <xf numFmtId="164" fontId="12" fillId="5" borderId="0" xfId="7" applyFont="1" applyFill="1"/>
    <xf numFmtId="0" fontId="0" fillId="5" borderId="0" xfId="0" applyFill="1"/>
    <xf numFmtId="0" fontId="14" fillId="0" borderId="0" xfId="8"/>
    <xf numFmtId="0" fontId="15" fillId="6" borderId="4" xfId="8" applyFont="1" applyFill="1" applyBorder="1"/>
    <xf numFmtId="0" fontId="15" fillId="6" borderId="8" xfId="8" applyFont="1" applyFill="1" applyBorder="1"/>
    <xf numFmtId="0" fontId="19" fillId="0" borderId="0" xfId="8" applyFont="1"/>
    <xf numFmtId="0" fontId="15" fillId="6" borderId="12" xfId="8" applyFont="1" applyFill="1" applyBorder="1"/>
    <xf numFmtId="0" fontId="14" fillId="0" borderId="0" xfId="8" applyAlignment="1">
      <alignment horizontal="center"/>
    </xf>
    <xf numFmtId="2" fontId="14" fillId="0" borderId="0" xfId="8" applyNumberFormat="1" applyAlignment="1">
      <alignment horizontal="center"/>
    </xf>
    <xf numFmtId="0" fontId="14" fillId="3" borderId="2" xfId="8" applyFill="1" applyBorder="1" applyAlignment="1">
      <alignment horizontal="center"/>
    </xf>
    <xf numFmtId="0" fontId="20" fillId="0" borderId="0" xfId="8" applyFont="1" applyAlignment="1">
      <alignment horizontal="left"/>
    </xf>
    <xf numFmtId="10" fontId="14" fillId="3" borderId="2" xfId="8" applyNumberFormat="1" applyFill="1" applyBorder="1" applyAlignment="1">
      <alignment horizontal="center"/>
    </xf>
    <xf numFmtId="0" fontId="21" fillId="0" borderId="15" xfId="8" applyFont="1" applyBorder="1" applyAlignment="1">
      <alignment horizontal="center" wrapText="1"/>
    </xf>
    <xf numFmtId="0" fontId="21" fillId="0" borderId="16" xfId="8" applyFont="1" applyBorder="1" applyAlignment="1">
      <alignment wrapText="1"/>
    </xf>
    <xf numFmtId="2" fontId="21" fillId="0" borderId="15" xfId="8" applyNumberFormat="1" applyFont="1" applyBorder="1" applyAlignment="1">
      <alignment horizontal="center" wrapText="1"/>
    </xf>
    <xf numFmtId="0" fontId="21" fillId="0" borderId="2" xfId="8" applyFont="1" applyBorder="1" applyAlignment="1">
      <alignment horizontal="center" wrapText="1"/>
    </xf>
    <xf numFmtId="41" fontId="14" fillId="0" borderId="15" xfId="3" applyFont="1" applyBorder="1" applyAlignment="1">
      <alignment horizontal="center"/>
    </xf>
    <xf numFmtId="0" fontId="14" fillId="0" borderId="11" xfId="8" applyBorder="1"/>
    <xf numFmtId="0" fontId="14" fillId="0" borderId="2" xfId="8" applyBorder="1" applyAlignment="1">
      <alignment horizontal="center"/>
    </xf>
    <xf numFmtId="2" fontId="14" fillId="0" borderId="2" xfId="8" applyNumberFormat="1" applyBorder="1" applyAlignment="1">
      <alignment horizontal="center"/>
    </xf>
    <xf numFmtId="10" fontId="14" fillId="0" borderId="2" xfId="8" applyNumberFormat="1" applyBorder="1" applyAlignment="1">
      <alignment horizontal="center"/>
    </xf>
    <xf numFmtId="41" fontId="14" fillId="0" borderId="2" xfId="3" applyFont="1" applyBorder="1" applyAlignment="1">
      <alignment horizontal="center"/>
    </xf>
    <xf numFmtId="0" fontId="19" fillId="0" borderId="11" xfId="8" applyFont="1" applyBorder="1"/>
    <xf numFmtId="0" fontId="19" fillId="0" borderId="2" xfId="8" applyFont="1" applyBorder="1" applyAlignment="1">
      <alignment horizontal="center"/>
    </xf>
    <xf numFmtId="2" fontId="19" fillId="0" borderId="2" xfId="8" applyNumberFormat="1" applyFont="1" applyBorder="1" applyAlignment="1">
      <alignment horizontal="center"/>
    </xf>
    <xf numFmtId="10" fontId="19" fillId="0" borderId="2" xfId="8" applyNumberFormat="1" applyFont="1" applyBorder="1" applyAlignment="1">
      <alignment horizontal="center"/>
    </xf>
    <xf numFmtId="0" fontId="19" fillId="0" borderId="17" xfId="8" applyFont="1" applyBorder="1"/>
    <xf numFmtId="0" fontId="19" fillId="0" borderId="7" xfId="8" applyFont="1" applyBorder="1" applyAlignment="1">
      <alignment horizontal="center"/>
    </xf>
    <xf numFmtId="2" fontId="19" fillId="0" borderId="7" xfId="8" applyNumberFormat="1" applyFont="1" applyBorder="1" applyAlignment="1">
      <alignment horizontal="center"/>
    </xf>
    <xf numFmtId="10" fontId="19" fillId="0" borderId="7" xfId="8" applyNumberFormat="1" applyFont="1" applyBorder="1" applyAlignment="1">
      <alignment horizontal="center"/>
    </xf>
    <xf numFmtId="41" fontId="5" fillId="8" borderId="0" xfId="3" applyFont="1" applyFill="1" applyAlignment="1">
      <alignment horizontal="center"/>
    </xf>
    <xf numFmtId="166" fontId="5" fillId="8" borderId="0" xfId="1" applyNumberFormat="1" applyFont="1" applyFill="1" applyAlignment="1">
      <alignment horizontal="center"/>
    </xf>
    <xf numFmtId="168" fontId="2" fillId="0" borderId="0" xfId="3" applyNumberFormat="1" applyFont="1" applyAlignment="1">
      <alignment horizontal="center"/>
    </xf>
    <xf numFmtId="168" fontId="1" fillId="0" borderId="0" xfId="2" applyNumberFormat="1" applyFont="1" applyAlignment="1">
      <alignment horizontal="center"/>
    </xf>
    <xf numFmtId="166" fontId="5" fillId="5" borderId="0" xfId="1" applyNumberFormat="1" applyFont="1" applyFill="1" applyAlignment="1">
      <alignment horizontal="center"/>
    </xf>
    <xf numFmtId="0" fontId="5" fillId="5" borderId="0" xfId="0" applyFont="1" applyFill="1"/>
    <xf numFmtId="0" fontId="22" fillId="5" borderId="0" xfId="0" applyFont="1" applyFill="1"/>
    <xf numFmtId="0" fontId="5" fillId="0" borderId="0" xfId="0" applyFont="1" applyFill="1"/>
    <xf numFmtId="170" fontId="5" fillId="5" borderId="0" xfId="0" applyNumberFormat="1" applyFont="1" applyFill="1"/>
    <xf numFmtId="10" fontId="5" fillId="5" borderId="0" xfId="0" applyNumberFormat="1" applyFont="1" applyFill="1"/>
    <xf numFmtId="166" fontId="5" fillId="8" borderId="0" xfId="1" applyNumberFormat="1" applyFont="1" applyFill="1"/>
    <xf numFmtId="166" fontId="5" fillId="5" borderId="0" xfId="1" applyNumberFormat="1" applyFont="1" applyFill="1"/>
    <xf numFmtId="166" fontId="5" fillId="4" borderId="0" xfId="1" applyNumberFormat="1" applyFont="1" applyFill="1" applyAlignment="1">
      <alignment horizontal="left"/>
    </xf>
    <xf numFmtId="168" fontId="5" fillId="5" borderId="0" xfId="2" applyNumberFormat="1" applyFont="1" applyFill="1"/>
    <xf numFmtId="173" fontId="0" fillId="0" borderId="0" xfId="2" applyNumberFormat="1" applyFont="1"/>
    <xf numFmtId="0" fontId="5" fillId="5" borderId="0" xfId="0" applyFont="1" applyFill="1" applyAlignment="1">
      <alignment horizontal="center"/>
    </xf>
    <xf numFmtId="0" fontId="2" fillId="0" borderId="0" xfId="0" applyFont="1" applyFill="1" applyBorder="1"/>
    <xf numFmtId="0" fontId="23" fillId="8" borderId="0" xfId="0" applyFont="1" applyFill="1"/>
    <xf numFmtId="0" fontId="0" fillId="8" borderId="0" xfId="0" applyFill="1"/>
    <xf numFmtId="0" fontId="24" fillId="8" borderId="0" xfId="0" applyFont="1" applyFill="1"/>
    <xf numFmtId="0" fontId="25" fillId="5" borderId="0" xfId="0" applyFont="1" applyFill="1" applyAlignment="1">
      <alignment horizontal="left" vertical="center"/>
    </xf>
    <xf numFmtId="41" fontId="0" fillId="0" borderId="0" xfId="3" applyNumberFormat="1" applyFont="1"/>
    <xf numFmtId="0" fontId="5" fillId="5" borderId="0" xfId="0" applyFont="1" applyFill="1" applyAlignment="1">
      <alignment horizontal="center" vertical="center"/>
    </xf>
    <xf numFmtId="0" fontId="5" fillId="8" borderId="0" xfId="0" applyFont="1" applyFill="1" applyBorder="1"/>
    <xf numFmtId="0" fontId="5" fillId="8" borderId="1" xfId="0" applyFont="1" applyFill="1" applyBorder="1"/>
    <xf numFmtId="166" fontId="5" fillId="0" borderId="0" xfId="1" applyNumberFormat="1" applyFont="1"/>
    <xf numFmtId="0" fontId="5" fillId="5" borderId="0" xfId="3" applyNumberFormat="1" applyFont="1" applyFill="1" applyAlignment="1">
      <alignment horizontal="center" vertical="center"/>
    </xf>
    <xf numFmtId="0" fontId="26" fillId="9" borderId="20" xfId="0" applyFont="1" applyFill="1" applyBorder="1"/>
    <xf numFmtId="0" fontId="26" fillId="9" borderId="21" xfId="0" applyFont="1" applyFill="1" applyBorder="1"/>
    <xf numFmtId="168" fontId="26" fillId="9" borderId="21" xfId="2" applyNumberFormat="1" applyFont="1" applyFill="1" applyBorder="1"/>
    <xf numFmtId="0" fontId="26" fillId="0" borderId="20" xfId="0" applyFont="1" applyBorder="1"/>
    <xf numFmtId="0" fontId="26" fillId="0" borderId="21" xfId="0" applyFont="1" applyBorder="1"/>
    <xf numFmtId="168" fontId="26" fillId="0" borderId="21" xfId="2" applyNumberFormat="1" applyFont="1" applyBorder="1"/>
    <xf numFmtId="168" fontId="26" fillId="9" borderId="22" xfId="2" applyNumberFormat="1" applyFont="1" applyFill="1" applyBorder="1"/>
    <xf numFmtId="0" fontId="5" fillId="8" borderId="0" xfId="0" applyFont="1" applyFill="1"/>
    <xf numFmtId="166" fontId="10" fillId="0" borderId="0" xfId="0" applyNumberFormat="1" applyFont="1"/>
    <xf numFmtId="166" fontId="5" fillId="10" borderId="0" xfId="1" applyNumberFormat="1" applyFont="1" applyFill="1"/>
    <xf numFmtId="0" fontId="2" fillId="0" borderId="23" xfId="0" applyFont="1" applyBorder="1"/>
    <xf numFmtId="0" fontId="5" fillId="8" borderId="23" xfId="0" applyFont="1" applyFill="1" applyBorder="1"/>
    <xf numFmtId="0" fontId="10" fillId="8" borderId="0" xfId="0" applyFont="1" applyFill="1"/>
    <xf numFmtId="0" fontId="28" fillId="8" borderId="0" xfId="0" applyFont="1" applyFill="1" applyAlignment="1">
      <alignment horizontal="right"/>
    </xf>
    <xf numFmtId="0" fontId="10" fillId="5" borderId="0" xfId="0" applyFont="1" applyFill="1"/>
    <xf numFmtId="0" fontId="27" fillId="5" borderId="0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173" fontId="2" fillId="0" borderId="23" xfId="2" applyNumberFormat="1" applyFont="1" applyBorder="1"/>
    <xf numFmtId="0" fontId="5" fillId="8" borderId="0" xfId="0" applyFont="1" applyFill="1" applyAlignment="1">
      <alignment horizontal="center" vertical="center"/>
    </xf>
    <xf numFmtId="168" fontId="9" fillId="5" borderId="0" xfId="2" applyNumberFormat="1" applyFont="1" applyFill="1"/>
    <xf numFmtId="0" fontId="9" fillId="0" borderId="1" xfId="0" applyFont="1" applyBorder="1"/>
    <xf numFmtId="166" fontId="9" fillId="0" borderId="0" xfId="1" applyNumberFormat="1" applyFont="1"/>
    <xf numFmtId="166" fontId="9" fillId="0" borderId="0" xfId="4" applyNumberFormat="1" applyFont="1"/>
    <xf numFmtId="41" fontId="9" fillId="0" borderId="0" xfId="3" applyFont="1"/>
    <xf numFmtId="166" fontId="9" fillId="3" borderId="0" xfId="2" applyNumberFormat="1" applyFont="1" applyFill="1"/>
    <xf numFmtId="0" fontId="9" fillId="0" borderId="0" xfId="0" applyFont="1"/>
    <xf numFmtId="166" fontId="9" fillId="0" borderId="0" xfId="2" applyNumberFormat="1" applyFont="1"/>
    <xf numFmtId="166" fontId="9" fillId="0" borderId="0" xfId="0" applyNumberFormat="1" applyFont="1"/>
    <xf numFmtId="0" fontId="0" fillId="0" borderId="27" xfId="0" applyBorder="1"/>
    <xf numFmtId="0" fontId="0" fillId="0" borderId="28" xfId="0" applyBorder="1"/>
    <xf numFmtId="0" fontId="5" fillId="5" borderId="28" xfId="0" applyFont="1" applyFill="1" applyBorder="1" applyAlignment="1">
      <alignment horizontal="center" vertical="center"/>
    </xf>
    <xf numFmtId="166" fontId="5" fillId="8" borderId="28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168" fontId="2" fillId="0" borderId="28" xfId="3" applyNumberFormat="1" applyFont="1" applyBorder="1" applyAlignment="1">
      <alignment horizontal="center"/>
    </xf>
    <xf numFmtId="168" fontId="0" fillId="0" borderId="28" xfId="2" applyNumberFormat="1" applyFont="1" applyBorder="1"/>
    <xf numFmtId="10" fontId="0" fillId="0" borderId="28" xfId="2" applyNumberFormat="1" applyFont="1" applyBorder="1"/>
    <xf numFmtId="166" fontId="0" fillId="0" borderId="28" xfId="0" applyNumberFormat="1" applyBorder="1"/>
    <xf numFmtId="166" fontId="9" fillId="3" borderId="28" xfId="0" applyNumberFormat="1" applyFont="1" applyFill="1" applyBorder="1"/>
    <xf numFmtId="166" fontId="2" fillId="0" borderId="28" xfId="1" applyNumberFormat="1" applyFont="1" applyBorder="1"/>
    <xf numFmtId="165" fontId="2" fillId="0" borderId="28" xfId="1" applyFont="1" applyBorder="1"/>
    <xf numFmtId="41" fontId="0" fillId="0" borderId="28" xfId="3" applyFont="1" applyBorder="1"/>
    <xf numFmtId="166" fontId="5" fillId="5" borderId="28" xfId="1" applyNumberFormat="1" applyFont="1" applyFill="1" applyBorder="1"/>
    <xf numFmtId="166" fontId="10" fillId="0" borderId="28" xfId="0" applyNumberFormat="1" applyFont="1" applyBorder="1"/>
    <xf numFmtId="166" fontId="5" fillId="10" borderId="28" xfId="1" applyNumberFormat="1" applyFont="1" applyFill="1" applyBorder="1"/>
    <xf numFmtId="166" fontId="0" fillId="0" borderId="28" xfId="1" applyNumberFormat="1" applyFont="1" applyBorder="1"/>
    <xf numFmtId="166" fontId="5" fillId="4" borderId="0" xfId="1" applyNumberFormat="1" applyFont="1" applyFill="1" applyAlignment="1">
      <alignment horizontal="left" vertical="center"/>
    </xf>
    <xf numFmtId="166" fontId="1" fillId="0" borderId="0" xfId="5" applyNumberFormat="1"/>
    <xf numFmtId="166" fontId="8" fillId="0" borderId="0" xfId="6" applyNumberFormat="1" applyFont="1"/>
    <xf numFmtId="170" fontId="0" fillId="0" borderId="0" xfId="0" applyNumberFormat="1"/>
    <xf numFmtId="170" fontId="9" fillId="0" borderId="0" xfId="0" applyNumberFormat="1" applyFont="1"/>
    <xf numFmtId="170" fontId="2" fillId="0" borderId="0" xfId="1" applyNumberFormat="1" applyFont="1"/>
    <xf numFmtId="166" fontId="0" fillId="0" borderId="24" xfId="0" applyNumberFormat="1" applyBorder="1"/>
    <xf numFmtId="166" fontId="0" fillId="0" borderId="25" xfId="0" applyNumberFormat="1" applyBorder="1"/>
    <xf numFmtId="166" fontId="0" fillId="0" borderId="26" xfId="0" applyNumberFormat="1" applyBorder="1"/>
    <xf numFmtId="166" fontId="0" fillId="0" borderId="23" xfId="0" applyNumberFormat="1" applyBorder="1"/>
    <xf numFmtId="15" fontId="16" fillId="6" borderId="5" xfId="8" applyNumberFormat="1" applyFont="1" applyFill="1" applyBorder="1" applyAlignment="1">
      <alignment horizontal="left"/>
    </xf>
    <xf numFmtId="15" fontId="16" fillId="6" borderId="6" xfId="8" applyNumberFormat="1" applyFont="1" applyFill="1" applyBorder="1" applyAlignment="1">
      <alignment horizontal="left"/>
    </xf>
    <xf numFmtId="0" fontId="17" fillId="7" borderId="7" xfId="9" applyFill="1" applyBorder="1" applyAlignment="1">
      <alignment horizontal="left" vertical="top" wrapText="1"/>
    </xf>
    <xf numFmtId="0" fontId="17" fillId="7" borderId="10" xfId="9" applyFill="1" applyBorder="1" applyAlignment="1">
      <alignment horizontal="left" vertical="top" wrapText="1"/>
    </xf>
    <xf numFmtId="0" fontId="17" fillId="7" borderId="15" xfId="9" applyFill="1" applyBorder="1" applyAlignment="1">
      <alignment horizontal="left" vertical="top" wrapText="1"/>
    </xf>
    <xf numFmtId="0" fontId="17" fillId="6" borderId="3" xfId="9" applyFill="1" applyBorder="1" applyAlignment="1">
      <alignment horizontal="left"/>
    </xf>
    <xf numFmtId="0" fontId="17" fillId="6" borderId="9" xfId="9" applyFill="1" applyBorder="1" applyAlignment="1">
      <alignment horizontal="left"/>
    </xf>
    <xf numFmtId="0" fontId="18" fillId="6" borderId="3" xfId="8" applyFont="1" applyFill="1" applyBorder="1" applyAlignment="1">
      <alignment horizontal="left"/>
    </xf>
    <xf numFmtId="0" fontId="18" fillId="6" borderId="9" xfId="8" applyFont="1" applyFill="1" applyBorder="1" applyAlignment="1">
      <alignment horizontal="left"/>
    </xf>
    <xf numFmtId="0" fontId="18" fillId="6" borderId="11" xfId="8" applyFont="1" applyFill="1" applyBorder="1" applyAlignment="1">
      <alignment horizontal="left"/>
    </xf>
    <xf numFmtId="15" fontId="17" fillId="6" borderId="3" xfId="9" applyNumberFormat="1" applyFill="1" applyBorder="1" applyAlignment="1">
      <alignment horizontal="left"/>
    </xf>
    <xf numFmtId="15" fontId="17" fillId="6" borderId="9" xfId="9" applyNumberFormat="1" applyFill="1" applyBorder="1" applyAlignment="1">
      <alignment horizontal="left"/>
    </xf>
    <xf numFmtId="0" fontId="17" fillId="6" borderId="3" xfId="9" applyFill="1" applyBorder="1"/>
    <xf numFmtId="0" fontId="17" fillId="6" borderId="9" xfId="9" applyFill="1" applyBorder="1"/>
    <xf numFmtId="0" fontId="17" fillId="6" borderId="13" xfId="9" applyFill="1" applyBorder="1" applyAlignment="1">
      <alignment horizontal="left"/>
    </xf>
    <xf numFmtId="0" fontId="17" fillId="6" borderId="14" xfId="9" applyFill="1" applyBorder="1" applyAlignment="1">
      <alignment horizontal="left"/>
    </xf>
  </cellXfs>
  <cellStyles count="10">
    <cellStyle name="Hipervínculo 2" xfId="9" xr:uid="{A54F4426-031C-4DD8-B565-EA778AE41B4E}"/>
    <cellStyle name="Millares" xfId="1" builtinId="3"/>
    <cellStyle name="Millares [0]" xfId="3" builtinId="6"/>
    <cellStyle name="Millares 5" xfId="4" xr:uid="{F4A19F56-8722-4EC6-A5E9-408CDFAEBD89}"/>
    <cellStyle name="Moneda [0]" xfId="7" builtinId="7"/>
    <cellStyle name="Normal" xfId="0" builtinId="0"/>
    <cellStyle name="Normal 2" xfId="6" xr:uid="{75B254F2-B8FE-491A-8039-2A6D277B6DD3}"/>
    <cellStyle name="Normal 2 2" xfId="8" xr:uid="{26A1BA21-2B5D-4F3D-8A1E-0598AED59171}"/>
    <cellStyle name="Normal 3" xfId="5" xr:uid="{9823B118-F78C-46CD-8F19-2985995E72DA}"/>
    <cellStyle name="Porcentaje" xfId="2" builtinId="5"/>
  </cellStyles>
  <dxfs count="14"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Historial</a:t>
            </a:r>
            <a:r>
              <a:rPr lang="es-ES" b="1" baseline="0">
                <a:solidFill>
                  <a:sysClr val="windowText" lastClr="000000"/>
                </a:solidFill>
              </a:rPr>
              <a:t> y crecimiento de los Ingresos IDEXUD (2014-2020)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Valor Ingresos ($)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3-4CDC-82C6-63C3FA8725E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93-4CDC-82C6-63C3FA8725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y Costos'!$B$8:$N$8</c:f>
              <c:strCache>
                <c:ptCount val="13"/>
                <c:pt idx="0">
                  <c:v> 2.014 </c:v>
                </c:pt>
                <c:pt idx="1">
                  <c:v> 2.015 </c:v>
                </c:pt>
                <c:pt idx="2">
                  <c:v> 2.016 </c:v>
                </c:pt>
                <c:pt idx="3">
                  <c:v> 2.017 </c:v>
                </c:pt>
                <c:pt idx="4">
                  <c:v> 2.018 </c:v>
                </c:pt>
                <c:pt idx="5">
                  <c:v> 2.019 </c:v>
                </c:pt>
                <c:pt idx="6">
                  <c:v> 2020-M1 </c:v>
                </c:pt>
                <c:pt idx="7">
                  <c:v> 2020-M2 </c:v>
                </c:pt>
                <c:pt idx="8">
                  <c:v> 2020-M3 </c:v>
                </c:pt>
                <c:pt idx="9">
                  <c:v> 2.021 </c:v>
                </c:pt>
                <c:pt idx="10">
                  <c:v> 2.022 </c:v>
                </c:pt>
                <c:pt idx="11">
                  <c:v> 2.023 </c:v>
                </c:pt>
                <c:pt idx="12">
                  <c:v> 2.024 </c:v>
                </c:pt>
              </c:strCache>
            </c:strRef>
          </c:cat>
          <c:val>
            <c:numRef>
              <c:f>'Ingresos y Costos'!$B$9:$M$9</c:f>
              <c:numCache>
                <c:formatCode>_(* #,##0_);_(* \(#,##0\);_(* "-"??_);_(@_)</c:formatCode>
                <c:ptCount val="12"/>
                <c:pt idx="0">
                  <c:v>1720469685</c:v>
                </c:pt>
                <c:pt idx="1">
                  <c:v>2218444300.8500004</c:v>
                </c:pt>
                <c:pt idx="2">
                  <c:v>3126057775.6999984</c:v>
                </c:pt>
                <c:pt idx="3">
                  <c:v>3205347693.4299998</c:v>
                </c:pt>
                <c:pt idx="4">
                  <c:v>3629386402</c:v>
                </c:pt>
                <c:pt idx="5">
                  <c:v>3693615260</c:v>
                </c:pt>
                <c:pt idx="6">
                  <c:v>3838225032.8331795</c:v>
                </c:pt>
                <c:pt idx="7">
                  <c:v>2595872481.8801651</c:v>
                </c:pt>
                <c:pt idx="8">
                  <c:v>3370728927.3945889</c:v>
                </c:pt>
                <c:pt idx="9">
                  <c:v>3534564573.4223304</c:v>
                </c:pt>
                <c:pt idx="10">
                  <c:v>3714572725.9932995</c:v>
                </c:pt>
                <c:pt idx="11">
                  <c:v>3899175582.610702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93-4CDC-82C6-63C3FA872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0"/>
        <c:axId val="1375212576"/>
        <c:axId val="1375227968"/>
      </c:barChart>
      <c:lineChart>
        <c:grouping val="standard"/>
        <c:varyColors val="0"/>
        <c:ser>
          <c:idx val="1"/>
          <c:order val="1"/>
          <c:tx>
            <c:v>Crecimiento Ingresos (%)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41-4AB3-8D55-FC1EB305387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41-4AB3-8D55-FC1EB305387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'Ingresos y Costos'!$B$8:$N$8</c:f>
              <c:strCache>
                <c:ptCount val="13"/>
                <c:pt idx="0">
                  <c:v> 2.014 </c:v>
                </c:pt>
                <c:pt idx="1">
                  <c:v> 2.015 </c:v>
                </c:pt>
                <c:pt idx="2">
                  <c:v> 2.016 </c:v>
                </c:pt>
                <c:pt idx="3">
                  <c:v> 2.017 </c:v>
                </c:pt>
                <c:pt idx="4">
                  <c:v> 2.018 </c:v>
                </c:pt>
                <c:pt idx="5">
                  <c:v> 2.019 </c:v>
                </c:pt>
                <c:pt idx="6">
                  <c:v> 2020-M1 </c:v>
                </c:pt>
                <c:pt idx="7">
                  <c:v> 2020-M2 </c:v>
                </c:pt>
                <c:pt idx="8">
                  <c:v> 2020-M3 </c:v>
                </c:pt>
                <c:pt idx="9">
                  <c:v> 2.021 </c:v>
                </c:pt>
                <c:pt idx="10">
                  <c:v> 2.022 </c:v>
                </c:pt>
                <c:pt idx="11">
                  <c:v> 2.023 </c:v>
                </c:pt>
                <c:pt idx="12">
                  <c:v> 2.024 </c:v>
                </c:pt>
              </c:strCache>
            </c:strRef>
          </c:cat>
          <c:val>
            <c:numRef>
              <c:f>'Ingresos y Costos'!$B$10:$M$10</c:f>
              <c:numCache>
                <c:formatCode>0.00%</c:formatCode>
                <c:ptCount val="12"/>
                <c:pt idx="1">
                  <c:v>0.28944108704246085</c:v>
                </c:pt>
                <c:pt idx="2">
                  <c:v>0.40912159683353089</c:v>
                </c:pt>
                <c:pt idx="3">
                  <c:v>2.5364188194585191E-2</c:v>
                </c:pt>
                <c:pt idx="4">
                  <c:v>0.13229101773862229</c:v>
                </c:pt>
                <c:pt idx="5">
                  <c:v>1.7696891674197746E-2</c:v>
                </c:pt>
                <c:pt idx="6">
                  <c:v>3.9151282051282044E-2</c:v>
                </c:pt>
                <c:pt idx="7">
                  <c:v>-0.29720008740700155</c:v>
                </c:pt>
                <c:pt idx="8">
                  <c:v>-8.7417424359842788E-2</c:v>
                </c:pt>
                <c:pt idx="9">
                  <c:v>4.8605405405405477E-2</c:v>
                </c:pt>
                <c:pt idx="10">
                  <c:v>5.0927956989247125E-2</c:v>
                </c:pt>
                <c:pt idx="11">
                  <c:v>4.9696928889187086E-2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93-4CDC-82C6-63C3FA872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222976"/>
        <c:axId val="1375229632"/>
      </c:lineChart>
      <c:catAx>
        <c:axId val="13752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5227968"/>
        <c:crosses val="autoZero"/>
        <c:auto val="1"/>
        <c:lblAlgn val="ctr"/>
        <c:lblOffset val="100"/>
        <c:noMultiLvlLbl val="0"/>
      </c:catAx>
      <c:valAx>
        <c:axId val="13752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5212576"/>
        <c:crosses val="autoZero"/>
        <c:crossBetween val="between"/>
      </c:valAx>
      <c:valAx>
        <c:axId val="13752296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5222976"/>
        <c:crosses val="max"/>
        <c:crossBetween val="between"/>
      </c:valAx>
      <c:catAx>
        <c:axId val="1375222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522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V6" fmlaRange="$V$8:$V$10" noThreeD="1" sel="2" val="0"/>
</file>

<file path=xl/ctrlProps/ctrlProp2.xml><?xml version="1.0" encoding="utf-8"?>
<formControlPr xmlns="http://schemas.microsoft.com/office/spreadsheetml/2009/9/main" objectType="Drop" dropStyle="combo" dx="22" fmlaLink="$W$6" fmlaRange="$W$8:$W$10" noThreeD="1" sel="2" val="0"/>
</file>

<file path=xl/ctrlProps/ctrlProp3.xml><?xml version="1.0" encoding="utf-8"?>
<formControlPr xmlns="http://schemas.microsoft.com/office/spreadsheetml/2009/9/main" objectType="Drop" dropStyle="combo" dx="22" fmlaLink="X6" fmlaRange="$X$8:$X$10" noThreeD="1" sel="2" val="0"/>
</file>

<file path=xl/ctrlProps/ctrlProp4.xml><?xml version="1.0" encoding="utf-8"?>
<formControlPr xmlns="http://schemas.microsoft.com/office/spreadsheetml/2009/9/main" objectType="Drop" dropStyle="combo" dx="22" fmlaLink="U6" fmlaRange="$U$8:$U$10" noThreeD="1" sel="2" val="0"/>
</file>

<file path=xl/ctrlProps/ctrlProp5.xml><?xml version="1.0" encoding="utf-8"?>
<formControlPr xmlns="http://schemas.microsoft.com/office/spreadsheetml/2009/9/main" objectType="Drop" dropStyle="combo" dx="22" fmlaLink="T6" fmlaRange="$T$8:$T$10" noThreeD="1" sel="2" val="0"/>
</file>

<file path=xl/ctrlProps/ctrlProp6.xml><?xml version="1.0" encoding="utf-8"?>
<formControlPr xmlns="http://schemas.microsoft.com/office/spreadsheetml/2009/9/main" objectType="Drop" dropStyle="combo" dx="22" fmlaLink="T6" fmlaRange="$T$8:$T$10" noThreeD="1" sel="2" val="0"/>
</file>

<file path=xl/ctrlProps/ctrlProp7.xml><?xml version="1.0" encoding="utf-8"?>
<formControlPr xmlns="http://schemas.microsoft.com/office/spreadsheetml/2009/9/main" objectType="Drop" dropStyle="combo" dx="22" fmlaLink="T6" fmlaRange="$T$8:$T$10" noThreeD="1" sel="2" val="0"/>
</file>

<file path=xl/ctrlProps/ctrlProp8.xml><?xml version="1.0" encoding="utf-8"?>
<formControlPr xmlns="http://schemas.microsoft.com/office/spreadsheetml/2009/9/main" objectType="Drop" dropStyle="combo" dx="22" fmlaLink="V5" fmlaRange="$V$7:$V$9" noThreeD="1" sel="2" val="0"/>
</file>

<file path=xl/ctrlProps/ctrlProp9.xml><?xml version="1.0" encoding="utf-8"?>
<formControlPr xmlns="http://schemas.microsoft.com/office/spreadsheetml/2009/9/main" objectType="Drop" dropStyle="combo" dx="22" fmlaLink="$W$5" fmlaRange="$W$7:$W$9" noThreeD="1" sel="1" val="0"/>
</file>

<file path=xl/ctrlProps/ctrlProp10.xml><?xml version="1.0" encoding="utf-8"?>
<formControlPr xmlns="http://schemas.microsoft.com/office/spreadsheetml/2009/9/main" objectType="Drop" dropStyle="combo" dx="22" fmlaLink="X5" fmlaRange="$X$7:$X$9" noThreeD="1" sel="1" val="0"/>
</file>

<file path=xl/ctrlProps/ctrlProp11.xml><?xml version="1.0" encoding="utf-8"?>
<formControlPr xmlns="http://schemas.microsoft.com/office/spreadsheetml/2009/9/main" objectType="Drop" dropStyle="combo" dx="22" fmlaLink="U5" fmlaRange="$U$7:$U$9" noThreeD="1" sel="2" val="0"/>
</file>

<file path=xl/ctrlProps/ctrlProp12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13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14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15.xml><?xml version="1.0" encoding="utf-8"?>
<formControlPr xmlns="http://schemas.microsoft.com/office/spreadsheetml/2009/9/main" objectType="Drop" dropStyle="combo" dx="22" fmlaLink="V5" fmlaRange="$V$7:$V$9" noThreeD="1" sel="2" val="0"/>
</file>

<file path=xl/ctrlProps/ctrlProp16.xml><?xml version="1.0" encoding="utf-8"?>
<formControlPr xmlns="http://schemas.microsoft.com/office/spreadsheetml/2009/9/main" objectType="Drop" dropStyle="combo" dx="22" fmlaLink="$W$5" fmlaRange="$W$7:$W$9" noThreeD="1" sel="1" val="0"/>
</file>

<file path=xl/ctrlProps/ctrlProp17.xml><?xml version="1.0" encoding="utf-8"?>
<formControlPr xmlns="http://schemas.microsoft.com/office/spreadsheetml/2009/9/main" objectType="Drop" dropStyle="combo" dx="22" fmlaLink="X5" fmlaRange="$X$7:$X$9" noThreeD="1" sel="1" val="0"/>
</file>

<file path=xl/ctrlProps/ctrlProp18.xml><?xml version="1.0" encoding="utf-8"?>
<formControlPr xmlns="http://schemas.microsoft.com/office/spreadsheetml/2009/9/main" objectType="Drop" dropStyle="combo" dx="22" fmlaLink="U5" fmlaRange="$U$7:$U$9" noThreeD="1" sel="2" val="0"/>
</file>

<file path=xl/ctrlProps/ctrlProp19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20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21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22.xml><?xml version="1.0" encoding="utf-8"?>
<formControlPr xmlns="http://schemas.microsoft.com/office/spreadsheetml/2009/9/main" objectType="Drop" dropStyle="combo" dx="31" fmlaLink="$A$31" fmlaRange="'Riesgo por Industria'!$B$18:$B$111" noThreeD="1" sel="26" val="0"/>
</file>

<file path=xl/ctrlProps/ctrlProp23.xml><?xml version="1.0" encoding="utf-8"?>
<formControlPr xmlns="http://schemas.microsoft.com/office/spreadsheetml/2009/9/main" objectType="Drop" dropStyle="combo" dx="31" fmlaLink="$A$31" fmlaRange="'Riesgo por Industria'!$B$18:$B$111" noThreeD="1" sel="26" val="2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royecci&#243;n Estado de Resultados'!A1"/><Relationship Id="rId7" Type="http://schemas.openxmlformats.org/officeDocument/2006/relationships/hyperlink" Target="#'Fondos ICETEX-Fiduciarias'!A1"/><Relationship Id="rId2" Type="http://schemas.openxmlformats.org/officeDocument/2006/relationships/hyperlink" Target="#Valoraci&#243;n!A1"/><Relationship Id="rId1" Type="http://schemas.openxmlformats.org/officeDocument/2006/relationships/hyperlink" Target="#'Ingresos y Costos'!A1"/><Relationship Id="rId6" Type="http://schemas.openxmlformats.org/officeDocument/2006/relationships/hyperlink" Target="#'Valoracion PC (Equilibrio)'!A1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-Resumen'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607001</xdr:colOff>
      <xdr:row>21</xdr:row>
      <xdr:rowOff>121229</xdr:rowOff>
    </xdr:from>
    <xdr:to>
      <xdr:col>4</xdr:col>
      <xdr:colOff>30832</xdr:colOff>
      <xdr:row>23</xdr:row>
      <xdr:rowOff>164524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001" y="4113070"/>
          <a:ext cx="2341945" cy="42429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Ingresos y Costos</a:t>
          </a:r>
        </a:p>
      </xdr:txBody>
    </xdr:sp>
    <xdr:clientData/>
  </xdr:twoCellAnchor>
  <xdr:twoCellAnchor>
    <xdr:from>
      <xdr:col>0</xdr:col>
      <xdr:colOff>597479</xdr:colOff>
      <xdr:row>15</xdr:row>
      <xdr:rowOff>129886</xdr:rowOff>
    </xdr:from>
    <xdr:to>
      <xdr:col>4</xdr:col>
      <xdr:colOff>21310</xdr:colOff>
      <xdr:row>18</xdr:row>
      <xdr:rowOff>19049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7479" y="2977861"/>
          <a:ext cx="2338481" cy="460663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Valoración Actual IDEXUD</a:t>
          </a:r>
        </a:p>
      </xdr:txBody>
    </xdr:sp>
    <xdr:clientData/>
  </xdr:twoCellAnchor>
  <xdr:twoCellAnchor>
    <xdr:from>
      <xdr:col>0</xdr:col>
      <xdr:colOff>597477</xdr:colOff>
      <xdr:row>9</xdr:row>
      <xdr:rowOff>121228</xdr:rowOff>
    </xdr:from>
    <xdr:to>
      <xdr:col>4</xdr:col>
      <xdr:colOff>21308</xdr:colOff>
      <xdr:row>11</xdr:row>
      <xdr:rowOff>181841</xdr:rowOff>
    </xdr:to>
    <xdr:sp macro="" textlink="">
      <xdr:nvSpPr>
        <xdr:cNvPr id="6" name="Rectángulo: esquinas redondeada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7477" y="1870364"/>
          <a:ext cx="2341945" cy="441613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bg1"/>
              </a:solidFill>
            </a:rPr>
            <a:t>Proyección</a:t>
          </a:r>
          <a:r>
            <a:rPr lang="es-CO" sz="1600" b="1" baseline="0">
              <a:solidFill>
                <a:schemeClr val="bg1"/>
              </a:solidFill>
            </a:rPr>
            <a:t> y Escenarios</a:t>
          </a:r>
          <a:endParaRPr lang="es-CO" sz="16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510887</xdr:colOff>
      <xdr:row>0</xdr:row>
      <xdr:rowOff>0</xdr:rowOff>
    </xdr:from>
    <xdr:to>
      <xdr:col>3</xdr:col>
      <xdr:colOff>622935</xdr:colOff>
      <xdr:row>5</xdr:row>
      <xdr:rowOff>51955</xdr:rowOff>
    </xdr:to>
    <xdr:pic>
      <xdr:nvPicPr>
        <xdr:cNvPr id="8" name="Imagen 7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510887" y="0"/>
          <a:ext cx="2268162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957696</xdr:colOff>
      <xdr:row>19</xdr:row>
      <xdr:rowOff>1734</xdr:rowOff>
    </xdr:from>
    <xdr:to>
      <xdr:col>11</xdr:col>
      <xdr:colOff>888423</xdr:colOff>
      <xdr:row>24</xdr:row>
      <xdr:rowOff>52534</xdr:rowOff>
    </xdr:to>
    <xdr:pic>
      <xdr:nvPicPr>
        <xdr:cNvPr id="9" name="Imagen 8" descr="idexu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296" y="3506934"/>
          <a:ext cx="2902527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34636</xdr:colOff>
      <xdr:row>6</xdr:row>
      <xdr:rowOff>25978</xdr:rowOff>
    </xdr:from>
    <xdr:to>
      <xdr:col>3</xdr:col>
      <xdr:colOff>744681</xdr:colOff>
      <xdr:row>8</xdr:row>
      <xdr:rowOff>103909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8750" y="1203614"/>
          <a:ext cx="1472045" cy="458931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/>
            <a:t>MENÚ</a:t>
          </a:r>
        </a:p>
      </xdr:txBody>
    </xdr:sp>
    <xdr:clientData/>
  </xdr:twoCellAnchor>
  <xdr:twoCellAnchor>
    <xdr:from>
      <xdr:col>5</xdr:col>
      <xdr:colOff>446808</xdr:colOff>
      <xdr:row>5</xdr:row>
      <xdr:rowOff>187038</xdr:rowOff>
    </xdr:from>
    <xdr:to>
      <xdr:col>12</xdr:col>
      <xdr:colOff>372341</xdr:colOff>
      <xdr:row>8</xdr:row>
      <xdr:rowOff>103909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15194" y="1174174"/>
          <a:ext cx="6056170" cy="488371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/>
            <a:t>RESUMEN</a:t>
          </a:r>
        </a:p>
      </xdr:txBody>
    </xdr:sp>
    <xdr:clientData/>
  </xdr:twoCellAnchor>
  <xdr:twoCellAnchor>
    <xdr:from>
      <xdr:col>0</xdr:col>
      <xdr:colOff>594013</xdr:colOff>
      <xdr:row>12</xdr:row>
      <xdr:rowOff>126425</xdr:rowOff>
    </xdr:from>
    <xdr:to>
      <xdr:col>4</xdr:col>
      <xdr:colOff>17844</xdr:colOff>
      <xdr:row>14</xdr:row>
      <xdr:rowOff>173183</xdr:rowOff>
    </xdr:to>
    <xdr:sp macro="" textlink="">
      <xdr:nvSpPr>
        <xdr:cNvPr id="14" name="Rectángulo: esquinas redondeadas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4013" y="2447061"/>
          <a:ext cx="2341945" cy="427758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bg1"/>
              </a:solidFill>
            </a:rPr>
            <a:t>Sostenibilidad y P-E</a:t>
          </a:r>
        </a:p>
      </xdr:txBody>
    </xdr:sp>
    <xdr:clientData/>
  </xdr:twoCellAnchor>
  <xdr:twoCellAnchor>
    <xdr:from>
      <xdr:col>0</xdr:col>
      <xdr:colOff>602676</xdr:colOff>
      <xdr:row>18</xdr:row>
      <xdr:rowOff>133350</xdr:rowOff>
    </xdr:from>
    <xdr:to>
      <xdr:col>4</xdr:col>
      <xdr:colOff>26507</xdr:colOff>
      <xdr:row>20</xdr:row>
      <xdr:rowOff>171450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2676" y="3552825"/>
          <a:ext cx="2338481" cy="4191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Valoración de Equilibrio </a:t>
          </a:r>
        </a:p>
      </xdr:txBody>
    </xdr:sp>
    <xdr:clientData/>
  </xdr:twoCellAnchor>
  <xdr:twoCellAnchor>
    <xdr:from>
      <xdr:col>0</xdr:col>
      <xdr:colOff>606137</xdr:colOff>
      <xdr:row>24</xdr:row>
      <xdr:rowOff>103909</xdr:rowOff>
    </xdr:from>
    <xdr:to>
      <xdr:col>4</xdr:col>
      <xdr:colOff>29968</xdr:colOff>
      <xdr:row>26</xdr:row>
      <xdr:rowOff>147204</xdr:rowOff>
    </xdr:to>
    <xdr:sp macro="" textlink="">
      <xdr:nvSpPr>
        <xdr:cNvPr id="15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6137" y="4667250"/>
          <a:ext cx="2341945" cy="42429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ICETEX-FIDUCIARIAS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0</xdr:rowOff>
        </xdr:from>
        <xdr:to>
          <xdr:col>16</xdr:col>
          <xdr:colOff>38100</xdr:colOff>
          <xdr:row>20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0</xdr:rowOff>
        </xdr:from>
        <xdr:to>
          <xdr:col>17</xdr:col>
          <xdr:colOff>47625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0</xdr:rowOff>
        </xdr:from>
        <xdr:to>
          <xdr:col>18</xdr:col>
          <xdr:colOff>57150</xdr:colOff>
          <xdr:row>14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0</xdr:rowOff>
        </xdr:from>
        <xdr:to>
          <xdr:col>15</xdr:col>
          <xdr:colOff>38100</xdr:colOff>
          <xdr:row>20</xdr:row>
          <xdr:rowOff>9525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742950</xdr:colOff>
      <xdr:row>0</xdr:row>
      <xdr:rowOff>180975</xdr:rowOff>
    </xdr:from>
    <xdr:to>
      <xdr:col>17</xdr:col>
      <xdr:colOff>1081181</xdr:colOff>
      <xdr:row>3</xdr:row>
      <xdr:rowOff>53975</xdr:rowOff>
    </xdr:to>
    <xdr:sp macro="" textlink="">
      <xdr:nvSpPr>
        <xdr:cNvPr id="74" name="Rectángulo: esquinas redondeadas 7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6202025" y="180975"/>
          <a:ext cx="2471831" cy="4445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73192</xdr:colOff>
      <xdr:row>0</xdr:row>
      <xdr:rowOff>0</xdr:rowOff>
    </xdr:from>
    <xdr:to>
      <xdr:col>1</xdr:col>
      <xdr:colOff>2445456</xdr:colOff>
      <xdr:row>12</xdr:row>
      <xdr:rowOff>40105</xdr:rowOff>
    </xdr:to>
    <xdr:pic>
      <xdr:nvPicPr>
        <xdr:cNvPr id="13" name="Imagen 12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22339" r="2422" b="23729"/>
        <a:stretch/>
      </xdr:blipFill>
      <xdr:spPr bwMode="auto">
        <a:xfrm>
          <a:off x="233613" y="0"/>
          <a:ext cx="2372264" cy="902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0</xdr:rowOff>
        </xdr:from>
        <xdr:to>
          <xdr:col>15</xdr:col>
          <xdr:colOff>1076325</xdr:colOff>
          <xdr:row>20</xdr:row>
          <xdr:rowOff>9525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0</xdr:rowOff>
        </xdr:from>
        <xdr:to>
          <xdr:col>16</xdr:col>
          <xdr:colOff>1085850</xdr:colOff>
          <xdr:row>20</xdr:row>
          <xdr:rowOff>9525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0</xdr:rowOff>
        </xdr:from>
        <xdr:to>
          <xdr:col>17</xdr:col>
          <xdr:colOff>1085850</xdr:colOff>
          <xdr:row>20</xdr:row>
          <xdr:rowOff>9525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0</xdr:rowOff>
        </xdr:from>
        <xdr:to>
          <xdr:col>14</xdr:col>
          <xdr:colOff>1076325</xdr:colOff>
          <xdr:row>20</xdr:row>
          <xdr:rowOff>9525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114300</xdr:colOff>
      <xdr:row>1</xdr:row>
      <xdr:rowOff>0</xdr:rowOff>
    </xdr:from>
    <xdr:to>
      <xdr:col>31</xdr:col>
      <xdr:colOff>400050</xdr:colOff>
      <xdr:row>12</xdr:row>
      <xdr:rowOff>130175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8078450" y="238124"/>
          <a:ext cx="1047750" cy="920751"/>
        </a:xfrm>
        <a:prstGeom prst="roundRect">
          <a:avLst/>
        </a:prstGeom>
        <a:solidFill>
          <a:schemeClr val="tx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66675</xdr:colOff>
      <xdr:row>1</xdr:row>
      <xdr:rowOff>28575</xdr:rowOff>
    </xdr:from>
    <xdr:to>
      <xdr:col>11</xdr:col>
      <xdr:colOff>1000125</xdr:colOff>
      <xdr:row>2</xdr:row>
      <xdr:rowOff>95250</xdr:rowOff>
    </xdr:to>
    <xdr:sp macro="[0]!Pesimista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53025" y="295275"/>
          <a:ext cx="933450" cy="2571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</a:t>
          </a:r>
          <a:r>
            <a:rPr lang="es-ES" sz="1100" baseline="0"/>
            <a:t> M1</a:t>
          </a:r>
          <a:endParaRPr lang="es-ES" sz="1100"/>
        </a:p>
      </xdr:txBody>
    </xdr:sp>
    <xdr:clientData/>
  </xdr:twoCellAnchor>
  <xdr:twoCellAnchor>
    <xdr:from>
      <xdr:col>12</xdr:col>
      <xdr:colOff>57150</xdr:colOff>
      <xdr:row>1</xdr:row>
      <xdr:rowOff>19050</xdr:rowOff>
    </xdr:from>
    <xdr:to>
      <xdr:col>12</xdr:col>
      <xdr:colOff>990600</xdr:colOff>
      <xdr:row>2</xdr:row>
      <xdr:rowOff>95249</xdr:rowOff>
    </xdr:to>
    <xdr:sp macro="[0]!E_2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00775" y="285750"/>
          <a:ext cx="933450" cy="266699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M2</a:t>
          </a:r>
        </a:p>
      </xdr:txBody>
    </xdr:sp>
    <xdr:clientData/>
  </xdr:twoCellAnchor>
  <xdr:twoCellAnchor>
    <xdr:from>
      <xdr:col>13</xdr:col>
      <xdr:colOff>66675</xdr:colOff>
      <xdr:row>1</xdr:row>
      <xdr:rowOff>19051</xdr:rowOff>
    </xdr:from>
    <xdr:to>
      <xdr:col>13</xdr:col>
      <xdr:colOff>1000125</xdr:colOff>
      <xdr:row>2</xdr:row>
      <xdr:rowOff>104775</xdr:rowOff>
    </xdr:to>
    <xdr:sp macro="[0]!E_3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267575" y="285751"/>
          <a:ext cx="933450" cy="2762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M3</a:t>
          </a:r>
        </a:p>
      </xdr:txBody>
    </xdr:sp>
    <xdr:clientData/>
  </xdr:twoCellAnchor>
  <xdr:twoCellAnchor>
    <xdr:from>
      <xdr:col>9</xdr:col>
      <xdr:colOff>402166</xdr:colOff>
      <xdr:row>34</xdr:row>
      <xdr:rowOff>2910</xdr:rowOff>
    </xdr:from>
    <xdr:to>
      <xdr:col>10</xdr:col>
      <xdr:colOff>1853</xdr:colOff>
      <xdr:row>35</xdr:row>
      <xdr:rowOff>72495</xdr:rowOff>
    </xdr:to>
    <xdr:sp macro="[0]!E_ACTUAL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710083" y="3876410"/>
          <a:ext cx="636853" cy="270668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/>
            <a:t>ACTUAL ESTIMADO </a:t>
          </a:r>
        </a:p>
      </xdr:txBody>
    </xdr:sp>
    <xdr:clientData/>
  </xdr:twoCellAnchor>
  <xdr:twoCellAnchor>
    <xdr:from>
      <xdr:col>8</xdr:col>
      <xdr:colOff>42333</xdr:colOff>
      <xdr:row>1</xdr:row>
      <xdr:rowOff>10583</xdr:rowOff>
    </xdr:from>
    <xdr:to>
      <xdr:col>9</xdr:col>
      <xdr:colOff>859367</xdr:colOff>
      <xdr:row>2</xdr:row>
      <xdr:rowOff>96310</xdr:rowOff>
    </xdr:to>
    <xdr:sp macro="[0]!E_ACTUAL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016750" y="127000"/>
          <a:ext cx="1875367" cy="276227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000"/>
            <a:t>ACTUAL ESTIMADO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0</xdr:rowOff>
        </xdr:from>
        <xdr:to>
          <xdr:col>15</xdr:col>
          <xdr:colOff>1076325</xdr:colOff>
          <xdr:row>20</xdr:row>
          <xdr:rowOff>9525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0</xdr:rowOff>
        </xdr:from>
        <xdr:to>
          <xdr:col>16</xdr:col>
          <xdr:colOff>1085850</xdr:colOff>
          <xdr:row>20</xdr:row>
          <xdr:rowOff>9525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0</xdr:rowOff>
        </xdr:from>
        <xdr:to>
          <xdr:col>17</xdr:col>
          <xdr:colOff>1085850</xdr:colOff>
          <xdr:row>20</xdr:row>
          <xdr:rowOff>9525</xdr:rowOff>
        </xdr:to>
        <xdr:sp macro="" textlink="">
          <xdr:nvSpPr>
            <xdr:cNvPr id="10250" name="Drop Dow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0</xdr:rowOff>
        </xdr:from>
        <xdr:to>
          <xdr:col>14</xdr:col>
          <xdr:colOff>1076325</xdr:colOff>
          <xdr:row>20</xdr:row>
          <xdr:rowOff>9525</xdr:rowOff>
        </xdr:to>
        <xdr:sp macro="" textlink="">
          <xdr:nvSpPr>
            <xdr:cNvPr id="10251" name="Drop Dow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0252" name="Drop Dow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0253" name="Drop Down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0254" name="Drop Dow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95250</xdr:colOff>
      <xdr:row>1</xdr:row>
      <xdr:rowOff>0</xdr:rowOff>
    </xdr:from>
    <xdr:to>
      <xdr:col>14</xdr:col>
      <xdr:colOff>1028700</xdr:colOff>
      <xdr:row>2</xdr:row>
      <xdr:rowOff>85724</xdr:rowOff>
    </xdr:to>
    <xdr:sp macro="[0]!PE_2021" textlink="">
      <xdr:nvSpPr>
        <xdr:cNvPr id="23" name="Rectángulo: esquinas redondeadas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3782675" y="266700"/>
          <a:ext cx="933450" cy="276224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2021</a:t>
          </a:r>
        </a:p>
      </xdr:txBody>
    </xdr:sp>
    <xdr:clientData/>
  </xdr:twoCellAnchor>
  <xdr:twoCellAnchor>
    <xdr:from>
      <xdr:col>15</xdr:col>
      <xdr:colOff>76200</xdr:colOff>
      <xdr:row>1</xdr:row>
      <xdr:rowOff>0</xdr:rowOff>
    </xdr:from>
    <xdr:to>
      <xdr:col>15</xdr:col>
      <xdr:colOff>1009650</xdr:colOff>
      <xdr:row>2</xdr:row>
      <xdr:rowOff>85724</xdr:rowOff>
    </xdr:to>
    <xdr:sp macro="[0]!PE_2022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4811375" y="266700"/>
          <a:ext cx="933450" cy="276224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2022</a:t>
          </a:r>
        </a:p>
      </xdr:txBody>
    </xdr:sp>
    <xdr:clientData/>
  </xdr:twoCellAnchor>
  <xdr:twoCellAnchor>
    <xdr:from>
      <xdr:col>17</xdr:col>
      <xdr:colOff>76200</xdr:colOff>
      <xdr:row>1</xdr:row>
      <xdr:rowOff>0</xdr:rowOff>
    </xdr:from>
    <xdr:to>
      <xdr:col>17</xdr:col>
      <xdr:colOff>1009650</xdr:colOff>
      <xdr:row>2</xdr:row>
      <xdr:rowOff>66675</xdr:rowOff>
    </xdr:to>
    <xdr:sp macro="[0]!PE_2024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6944975" y="257175"/>
          <a:ext cx="933450" cy="266700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2024</a:t>
          </a:r>
        </a:p>
      </xdr:txBody>
    </xdr:sp>
    <xdr:clientData/>
  </xdr:twoCellAnchor>
  <xdr:twoCellAnchor>
    <xdr:from>
      <xdr:col>16</xdr:col>
      <xdr:colOff>66675</xdr:colOff>
      <xdr:row>1</xdr:row>
      <xdr:rowOff>0</xdr:rowOff>
    </xdr:from>
    <xdr:to>
      <xdr:col>16</xdr:col>
      <xdr:colOff>1000125</xdr:colOff>
      <xdr:row>2</xdr:row>
      <xdr:rowOff>76200</xdr:rowOff>
    </xdr:to>
    <xdr:sp macro="[0]!PE_2023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5868650" y="266700"/>
          <a:ext cx="933450" cy="266700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2023</a:t>
          </a:r>
        </a:p>
      </xdr:txBody>
    </xdr:sp>
    <xdr:clientData/>
  </xdr:twoCellAnchor>
  <xdr:twoCellAnchor editAs="oneCell">
    <xdr:from>
      <xdr:col>1</xdr:col>
      <xdr:colOff>57150</xdr:colOff>
      <xdr:row>0</xdr:row>
      <xdr:rowOff>0</xdr:rowOff>
    </xdr:from>
    <xdr:to>
      <xdr:col>1</xdr:col>
      <xdr:colOff>2181225</xdr:colOff>
      <xdr:row>11</xdr:row>
      <xdr:rowOff>155311</xdr:rowOff>
    </xdr:to>
    <xdr:pic>
      <xdr:nvPicPr>
        <xdr:cNvPr id="29" name="Imagen 28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219075" y="0"/>
          <a:ext cx="21240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190499</xdr:rowOff>
    </xdr:from>
    <xdr:to>
      <xdr:col>11</xdr:col>
      <xdr:colOff>838199</xdr:colOff>
      <xdr:row>42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248708</xdr:colOff>
      <xdr:row>4</xdr:row>
      <xdr:rowOff>133350</xdr:rowOff>
    </xdr:from>
    <xdr:to>
      <xdr:col>11</xdr:col>
      <xdr:colOff>910166</xdr:colOff>
      <xdr:row>6</xdr:row>
      <xdr:rowOff>76200</xdr:rowOff>
    </xdr:to>
    <xdr:sp macro="" textlink="">
      <xdr:nvSpPr>
        <xdr:cNvPr id="6" name="Rectángulo: esquinas redondeada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59041" y="842433"/>
          <a:ext cx="1656292" cy="47201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10</xdr:col>
      <xdr:colOff>190500</xdr:colOff>
      <xdr:row>0</xdr:row>
      <xdr:rowOff>1</xdr:rowOff>
    </xdr:from>
    <xdr:to>
      <xdr:col>11</xdr:col>
      <xdr:colOff>953681</xdr:colOff>
      <xdr:row>4</xdr:row>
      <xdr:rowOff>98607</xdr:rowOff>
    </xdr:to>
    <xdr:pic>
      <xdr:nvPicPr>
        <xdr:cNvPr id="7" name="Imagen 6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10582275" y="1"/>
          <a:ext cx="1753811" cy="803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30</xdr:row>
          <xdr:rowOff>9525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590550</xdr:colOff>
      <xdr:row>0</xdr:row>
      <xdr:rowOff>114300</xdr:rowOff>
    </xdr:from>
    <xdr:to>
      <xdr:col>7</xdr:col>
      <xdr:colOff>1033556</xdr:colOff>
      <xdr:row>2</xdr:row>
      <xdr:rowOff>177800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258300" y="114300"/>
          <a:ext cx="2471831" cy="4445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0</xdr:col>
      <xdr:colOff>600075</xdr:colOff>
      <xdr:row>0</xdr:row>
      <xdr:rowOff>0</xdr:rowOff>
    </xdr:from>
    <xdr:to>
      <xdr:col>1</xdr:col>
      <xdr:colOff>2106237</xdr:colOff>
      <xdr:row>5</xdr:row>
      <xdr:rowOff>86591</xdr:rowOff>
    </xdr:to>
    <xdr:pic>
      <xdr:nvPicPr>
        <xdr:cNvPr id="5" name="Imagen 4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600075" y="0"/>
          <a:ext cx="2268162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30</xdr:row>
          <xdr:rowOff>9525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590550</xdr:colOff>
      <xdr:row>0</xdr:row>
      <xdr:rowOff>114300</xdr:rowOff>
    </xdr:from>
    <xdr:to>
      <xdr:col>7</xdr:col>
      <xdr:colOff>1033556</xdr:colOff>
      <xdr:row>2</xdr:row>
      <xdr:rowOff>177800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524750" y="114300"/>
          <a:ext cx="2471831" cy="4445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0</xdr:col>
      <xdr:colOff>276225</xdr:colOff>
      <xdr:row>0</xdr:row>
      <xdr:rowOff>0</xdr:rowOff>
    </xdr:from>
    <xdr:to>
      <xdr:col>1</xdr:col>
      <xdr:colOff>2132317</xdr:colOff>
      <xdr:row>6</xdr:row>
      <xdr:rowOff>152400</xdr:rowOff>
    </xdr:to>
    <xdr:pic>
      <xdr:nvPicPr>
        <xdr:cNvPr id="5" name="Imagen 4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276225" y="0"/>
          <a:ext cx="2618092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398319</xdr:colOff>
      <xdr:row>0</xdr:row>
      <xdr:rowOff>0</xdr:rowOff>
    </xdr:from>
    <xdr:to>
      <xdr:col>7</xdr:col>
      <xdr:colOff>969818</xdr:colOff>
      <xdr:row>4</xdr:row>
      <xdr:rowOff>51955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395114" y="0"/>
          <a:ext cx="1584613" cy="736023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640773</xdr:colOff>
      <xdr:row>4</xdr:row>
      <xdr:rowOff>52851</xdr:rowOff>
    </xdr:to>
    <xdr:pic>
      <xdr:nvPicPr>
        <xdr:cNvPr id="3" name="Imagen 2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0" y="0"/>
          <a:ext cx="1489364" cy="736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1182019</xdr:colOff>
      <xdr:row>1</xdr:row>
      <xdr:rowOff>137711</xdr:rowOff>
    </xdr:from>
    <xdr:to>
      <xdr:col>8</xdr:col>
      <xdr:colOff>4513</xdr:colOff>
      <xdr:row>3</xdr:row>
      <xdr:rowOff>192030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754519" y="332801"/>
          <a:ext cx="2471831" cy="4445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2145049</xdr:colOff>
      <xdr:row>6</xdr:row>
      <xdr:rowOff>85530</xdr:rowOff>
    </xdr:to>
    <xdr:pic>
      <xdr:nvPicPr>
        <xdr:cNvPr id="5" name="Imagen 4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0" y="0"/>
          <a:ext cx="2741796" cy="125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Valoraci&#243;n%20ESCONT%20Ltd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Proyección Estado de Resultados"/>
      <sheetName val="Proyección Estado Sit. Financ."/>
      <sheetName val="Valoración"/>
      <sheetName val="Riesgo por Industria"/>
    </sheetNames>
    <sheetDataSet>
      <sheetData sheetId="0" refreshError="1"/>
      <sheetData sheetId="1" refreshError="1"/>
      <sheetData sheetId="2" refreshError="1"/>
      <sheetData sheetId="3">
        <row r="32">
          <cell r="C32">
            <v>7.0800000000000002E-2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9B3F79-3CDB-4BF3-A7E8-709A0C8E52E8}" name="Table1" displayName="Table1" ref="A17:I113" totalsRowShown="0" headerRowDxfId="13" dataDxfId="11" headerRowBorderDxfId="12" tableBorderDxfId="10" totalsRowBorderDxfId="9">
  <autoFilter ref="A17:I113" xr:uid="{CCEDF007-2F0B-4593-A3BF-FBFDECFE2CC3}"/>
  <tableColumns count="9">
    <tableColumn id="21" xr3:uid="{6B8788E2-0ADD-4FC7-B027-D6E9688CFAE1}" name="No." dataDxfId="8"/>
    <tableColumn id="1" xr3:uid="{301BFA75-80C6-4BF4-8570-E8EA115CDD09}" name="Industry  Name" dataDxfId="7"/>
    <tableColumn id="2" xr3:uid="{AD32E987-016E-4878-8CD1-E9A369BB492F}" name="Number of firms" dataDxfId="6"/>
    <tableColumn id="3" xr3:uid="{E11F03AF-D181-4354-9A1A-7ECD6B366D38}" name="Beta " dataDxfId="5"/>
    <tableColumn id="4" xr3:uid="{3D41701C-E943-4315-BF6E-D7832E760560}" name="D/E Ratio" dataDxfId="4"/>
    <tableColumn id="5" xr3:uid="{B9843FB4-C8F8-4D70-81AC-6D93071025E8}" name="Effective Tax rate" dataDxfId="3"/>
    <tableColumn id="6" xr3:uid="{E394838C-4A4D-47A8-A94D-EDEAED71A204}" name="Unlevered beta" dataDxfId="2">
      <calculatedColumnFormula>IF($F$15="Effective",D18/(1+(1-F18)*E18),D18/(1+(1-$F$16)*E18))</calculatedColumnFormula>
    </tableColumn>
    <tableColumn id="7" xr3:uid="{C0E848B7-0DF9-4C8B-BC3B-B8388B2195E4}" name="Cash/Firm value" dataDxfId="1"/>
    <tableColumn id="8" xr3:uid="{E0DCCE75-9E9D-4643-97BA-4C5DAA7D2CCF}" name="Unlevered beta corrected for cash" dataDxfId="0">
      <calculatedColumnFormula>G18/(1-H18)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hyperlink" Target="https://youtu.be/rxmttgceSjg" TargetMode="Externa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1908-9DE1-4C02-BB46-25385D333156}">
  <sheetPr codeName="Hoja1"/>
  <dimension ref="C1:L24"/>
  <sheetViews>
    <sheetView showGridLines="0" tabSelected="1" zoomScaleNormal="100" workbookViewId="0">
      <selection activeCell="H24" sqref="H24"/>
    </sheetView>
  </sheetViews>
  <sheetFormatPr baseColWidth="10" defaultRowHeight="15" x14ac:dyDescent="0.25"/>
  <cols>
    <col min="1" max="1" width="9.42578125" customWidth="1"/>
    <col min="5" max="5" width="6.7109375" customWidth="1"/>
    <col min="6" max="6" width="7.85546875" customWidth="1"/>
    <col min="7" max="7" width="29.28515625" customWidth="1"/>
    <col min="8" max="8" width="15.140625" bestFit="1" customWidth="1"/>
    <col min="9" max="12" width="14.140625" bestFit="1" customWidth="1"/>
  </cols>
  <sheetData>
    <row r="1" spans="3:12" ht="8.25" customHeight="1" x14ac:dyDescent="0.25"/>
    <row r="2" spans="3:12" s="55" customFormat="1" ht="6" customHeight="1" x14ac:dyDescent="0.25"/>
    <row r="3" spans="3:12" s="55" customFormat="1" ht="46.5" x14ac:dyDescent="0.7">
      <c r="G3" s="90" t="s">
        <v>232</v>
      </c>
    </row>
    <row r="4" spans="3:12" s="55" customFormat="1" ht="2.25" customHeight="1" x14ac:dyDescent="0.25"/>
    <row r="8" spans="3:12" x14ac:dyDescent="0.25">
      <c r="C8" s="7"/>
    </row>
    <row r="9" spans="3:12" ht="11.25" customHeight="1" x14ac:dyDescent="0.25"/>
    <row r="11" spans="3:12" x14ac:dyDescent="0.25">
      <c r="H11" s="13" t="s">
        <v>67</v>
      </c>
      <c r="I11" s="13" t="s">
        <v>68</v>
      </c>
      <c r="J11" s="13" t="s">
        <v>69</v>
      </c>
      <c r="K11" s="13" t="s">
        <v>70</v>
      </c>
      <c r="L11" s="13" t="s">
        <v>71</v>
      </c>
    </row>
    <row r="12" spans="3:12" x14ac:dyDescent="0.25">
      <c r="G12" s="89" t="s">
        <v>233</v>
      </c>
      <c r="H12" s="35">
        <f>'Proyección y Escenarios'!N21</f>
        <v>3370728927.3945889</v>
      </c>
      <c r="I12" s="35">
        <f>'Proyección y Escenarios'!O21</f>
        <v>3534564573.4223304</v>
      </c>
      <c r="J12" s="35">
        <f>'Proyección y Escenarios'!P21</f>
        <v>3714572725.9932995</v>
      </c>
      <c r="K12" s="35">
        <f>'Proyección y Escenarios'!Q21</f>
        <v>3899175582.610702</v>
      </c>
      <c r="L12" s="35">
        <f>'Proyección y Escenarios'!R21</f>
        <v>4091312585.5614052</v>
      </c>
    </row>
    <row r="13" spans="3:12" x14ac:dyDescent="0.25">
      <c r="G13" s="91"/>
      <c r="H13" s="35"/>
      <c r="I13" s="35"/>
      <c r="J13" s="35"/>
      <c r="K13" s="35"/>
      <c r="L13" s="35"/>
    </row>
    <row r="14" spans="3:12" x14ac:dyDescent="0.25">
      <c r="G14" s="89" t="s">
        <v>235</v>
      </c>
      <c r="H14" s="35" cm="1">
        <f t="array" ref="H14:L14">'Proyección y Escenarios'!N33:R33</f>
        <v>-3157102232.7550583</v>
      </c>
      <c r="I14" s="35">
        <v>-3313128166.2528763</v>
      </c>
      <c r="J14" s="35">
        <v>-3465692574.1287441</v>
      </c>
      <c r="K14" s="35">
        <v>-3624609119.2275577</v>
      </c>
      <c r="L14" s="35">
        <v>-3790738303.6222544</v>
      </c>
    </row>
    <row r="15" spans="3:12" x14ac:dyDescent="0.25">
      <c r="G15" s="91"/>
      <c r="H15" s="35"/>
      <c r="I15" s="35"/>
      <c r="J15" s="35"/>
      <c r="K15" s="35"/>
      <c r="L15" s="35"/>
    </row>
    <row r="16" spans="3:12" x14ac:dyDescent="0.25">
      <c r="G16" s="89" t="s">
        <v>234</v>
      </c>
      <c r="H16" s="35">
        <f>'Proyección y Escenarios'!N48</f>
        <v>-19472071.25806269</v>
      </c>
      <c r="I16" s="35">
        <f>'Proyección y Escenarios'!O48</f>
        <v>-20029077.7504825</v>
      </c>
      <c r="J16" s="35">
        <f>'Proyección y Escenarios'!P48</f>
        <v>-20648536.205683738</v>
      </c>
      <c r="K16" s="35">
        <f>'Proyección y Escenarios'!Q48</f>
        <v>-21261734.317049712</v>
      </c>
      <c r="L16" s="35">
        <f>'Proyección y Escenarios'!R48</f>
        <v>-21884199.541282326</v>
      </c>
    </row>
    <row r="17" spans="7:12" x14ac:dyDescent="0.25">
      <c r="G17" s="91"/>
    </row>
    <row r="18" spans="7:12" x14ac:dyDescent="0.25">
      <c r="G18" s="118" t="s">
        <v>444</v>
      </c>
      <c r="H18" s="50">
        <f>'Proyección y Escenarios'!N50</f>
        <v>194154623.38146797</v>
      </c>
      <c r="I18" s="50">
        <f>'Proyección y Escenarios'!O50</f>
        <v>201407329.4189716</v>
      </c>
      <c r="J18" s="50">
        <f>'Proyección y Escenarios'!P50</f>
        <v>228231615.65887162</v>
      </c>
      <c r="K18" s="50">
        <f>'Proyección y Escenarios'!Q50</f>
        <v>253304729.06609467</v>
      </c>
      <c r="L18" s="50">
        <f>'Proyección y Escenarios'!R50</f>
        <v>278690082.39786851</v>
      </c>
    </row>
    <row r="19" spans="7:12" x14ac:dyDescent="0.25">
      <c r="G19" s="91"/>
    </row>
    <row r="22" spans="7:12" x14ac:dyDescent="0.25">
      <c r="G22" s="89" t="s">
        <v>446</v>
      </c>
      <c r="H22" s="51">
        <f>'Valoración Actual'!C36</f>
        <v>1472603536.2398722</v>
      </c>
    </row>
    <row r="24" spans="7:12" x14ac:dyDescent="0.25">
      <c r="G24" s="89" t="s">
        <v>445</v>
      </c>
      <c r="H24" s="51">
        <f>'Valoracion PC (Equilibrio)'!C36</f>
        <v>2022532773.9444559</v>
      </c>
    </row>
  </sheetData>
  <conditionalFormatting sqref="H18:L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Y52"/>
  <sheetViews>
    <sheetView showGridLines="0" zoomScaleNormal="100" workbookViewId="0">
      <pane xSplit="2" ySplit="13" topLeftCell="I14" activePane="bottomRight" state="frozen"/>
      <selection pane="topRight" activeCell="B1" sqref="B1"/>
      <selection pane="bottomLeft" activeCell="A6" sqref="A6"/>
      <selection pane="bottomRight" activeCell="Y23" sqref="Y23"/>
    </sheetView>
  </sheetViews>
  <sheetFormatPr baseColWidth="10" defaultRowHeight="15" outlineLevelRow="1" outlineLevelCol="1" x14ac:dyDescent="0.25"/>
  <cols>
    <col min="1" max="1" width="2.42578125" customWidth="1"/>
    <col min="2" max="2" width="39.7109375" customWidth="1"/>
    <col min="3" max="3" width="12.28515625" style="28" hidden="1" customWidth="1"/>
    <col min="4" max="4" width="11.28515625" style="28" hidden="1" customWidth="1"/>
    <col min="5" max="5" width="16.5703125" style="2" hidden="1" customWidth="1" outlineLevel="1"/>
    <col min="6" max="6" width="14.85546875" style="2" hidden="1" customWidth="1" outlineLevel="1"/>
    <col min="7" max="7" width="15.140625" style="2" hidden="1" customWidth="1" outlineLevel="1"/>
    <col min="8" max="8" width="14.85546875" style="2" hidden="1" customWidth="1" outlineLevel="1"/>
    <col min="9" max="9" width="16.7109375" style="2" hidden="1" customWidth="1" outlineLevel="1"/>
    <col min="10" max="10" width="16.85546875" bestFit="1" customWidth="1" collapsed="1"/>
    <col min="11" max="11" width="0.140625" hidden="1" customWidth="1"/>
    <col min="12" max="12" width="15.85546875" style="35" hidden="1" customWidth="1" outlineLevel="1"/>
    <col min="13" max="13" width="15.85546875" hidden="1" customWidth="1" outlineLevel="1"/>
    <col min="14" max="14" width="15.85546875" style="141" bestFit="1" customWidth="1" collapsed="1"/>
    <col min="15" max="18" width="15.5703125" bestFit="1" customWidth="1"/>
    <col min="20" max="21" width="12.5703125" hidden="1" customWidth="1"/>
    <col min="22" max="24" width="14.140625" hidden="1" customWidth="1"/>
    <col min="25" max="35" width="14.140625" bestFit="1" customWidth="1"/>
  </cols>
  <sheetData>
    <row r="1" spans="2:24" ht="4.5" customHeight="1" x14ac:dyDescent="0.25">
      <c r="N1" s="140"/>
    </row>
    <row r="2" spans="2:24" ht="12.75" customHeight="1" x14ac:dyDescent="0.25">
      <c r="E2" s="7" t="s">
        <v>74</v>
      </c>
    </row>
    <row r="3" spans="2:24" ht="12.75" customHeight="1" x14ac:dyDescent="0.25">
      <c r="E3" s="7" t="s">
        <v>72</v>
      </c>
      <c r="H3" s="109"/>
      <c r="L3" s="110" t="s">
        <v>447</v>
      </c>
      <c r="M3" s="106" t="s">
        <v>448</v>
      </c>
      <c r="N3" s="142" t="s">
        <v>449</v>
      </c>
    </row>
    <row r="4" spans="2:24" ht="8.25" customHeight="1" x14ac:dyDescent="0.25"/>
    <row r="5" spans="2:24" x14ac:dyDescent="0.25">
      <c r="E5" s="37"/>
      <c r="F5" s="37"/>
      <c r="G5" s="37"/>
      <c r="H5" s="37"/>
      <c r="I5" s="96" t="s">
        <v>243</v>
      </c>
      <c r="J5" s="37"/>
      <c r="K5" s="38"/>
      <c r="L5" s="84"/>
      <c r="M5" s="85"/>
      <c r="N5" s="143"/>
      <c r="O5" s="88"/>
      <c r="P5" s="88"/>
      <c r="Q5" s="88"/>
      <c r="R5" s="88"/>
    </row>
    <row r="6" spans="2:24" hidden="1" outlineLevel="1" x14ac:dyDescent="0.25">
      <c r="E6" s="13" t="s">
        <v>2</v>
      </c>
      <c r="F6" s="15" t="s">
        <v>21</v>
      </c>
      <c r="G6" s="15" t="s">
        <v>1</v>
      </c>
      <c r="H6" s="15" t="s">
        <v>22</v>
      </c>
      <c r="I6" s="15" t="s">
        <v>23</v>
      </c>
      <c r="J6" s="13" t="s">
        <v>66</v>
      </c>
      <c r="K6" s="13"/>
      <c r="L6" s="36" t="s">
        <v>67</v>
      </c>
      <c r="M6" s="13" t="s">
        <v>67</v>
      </c>
      <c r="N6" s="144" t="s">
        <v>67</v>
      </c>
      <c r="O6" s="13" t="s">
        <v>68</v>
      </c>
      <c r="P6" s="13" t="s">
        <v>69</v>
      </c>
      <c r="Q6" s="13" t="s">
        <v>70</v>
      </c>
      <c r="R6" s="13" t="s">
        <v>71</v>
      </c>
      <c r="T6">
        <v>2</v>
      </c>
      <c r="U6">
        <v>2</v>
      </c>
      <c r="V6">
        <v>2</v>
      </c>
      <c r="W6">
        <v>2</v>
      </c>
      <c r="X6">
        <v>2</v>
      </c>
    </row>
    <row r="7" spans="2:24" hidden="1" outlineLevel="1" x14ac:dyDescent="0.25">
      <c r="B7" s="7" t="s">
        <v>245</v>
      </c>
      <c r="E7" s="13"/>
      <c r="F7" s="87">
        <f t="shared" ref="F7:I7" si="0">F12</f>
        <v>0.28944108704246085</v>
      </c>
      <c r="G7" s="87">
        <f t="shared" si="0"/>
        <v>0.40912159683353089</v>
      </c>
      <c r="H7" s="87">
        <f t="shared" si="0"/>
        <v>2.5364188194585191E-2</v>
      </c>
      <c r="I7" s="87">
        <f t="shared" si="0"/>
        <v>0.13229101773862229</v>
      </c>
      <c r="J7" s="87">
        <f>J12</f>
        <v>1.7696891674197746E-2</v>
      </c>
      <c r="K7" s="13"/>
      <c r="L7" s="86">
        <f>L14</f>
        <v>3.9151282051282051E-2</v>
      </c>
      <c r="M7" s="86">
        <f t="shared" ref="M7:R7" si="1">M14</f>
        <v>3.9151282051282051E-2</v>
      </c>
      <c r="N7" s="145">
        <f t="shared" si="1"/>
        <v>3.9151282051282051E-2</v>
      </c>
      <c r="O7" s="86">
        <f t="shared" si="1"/>
        <v>4.8605405405405429E-2</v>
      </c>
      <c r="P7" s="86">
        <f t="shared" si="1"/>
        <v>5.0927956989247319E-2</v>
      </c>
      <c r="Q7" s="86">
        <f t="shared" si="1"/>
        <v>4.9696928889186961E-2</v>
      </c>
      <c r="R7" s="86">
        <f t="shared" si="1"/>
        <v>4.9276314667024354E-2</v>
      </c>
    </row>
    <row r="8" spans="2:24" hidden="1" outlineLevel="1" x14ac:dyDescent="0.25">
      <c r="B8" s="7" t="s">
        <v>228</v>
      </c>
      <c r="F8" s="33">
        <v>6.7699999999999996E-2</v>
      </c>
      <c r="G8" s="33">
        <v>5.7500000000000002E-2</v>
      </c>
      <c r="H8" s="33">
        <v>4.0899999999999999E-2</v>
      </c>
      <c r="I8" s="33">
        <v>3.1800000000000002E-2</v>
      </c>
      <c r="J8" s="33">
        <v>3.7999999999999999E-2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</row>
    <row r="9" spans="2:24" hidden="1" outlineLevel="1" x14ac:dyDescent="0.25">
      <c r="B9" s="7" t="s">
        <v>229</v>
      </c>
      <c r="L9" s="33">
        <v>1.915128205128205E-2</v>
      </c>
      <c r="M9" s="33">
        <v>1.915128205128205E-2</v>
      </c>
      <c r="N9" s="146">
        <v>1.915128205128205E-2</v>
      </c>
      <c r="O9" s="33">
        <v>2.8605405405405428E-2</v>
      </c>
      <c r="P9" s="33">
        <v>3.0927956989247316E-2</v>
      </c>
      <c r="Q9" s="39">
        <f>AVERAGE(I8:J8,N9:P9)</f>
        <v>2.9696928889186958E-2</v>
      </c>
      <c r="R9" s="39">
        <f>AVERAGE(J8,N9:Q9)</f>
        <v>2.927631466702435E-2</v>
      </c>
      <c r="T9" t="s">
        <v>76</v>
      </c>
      <c r="U9" t="s">
        <v>76</v>
      </c>
      <c r="V9" t="s">
        <v>76</v>
      </c>
      <c r="W9" t="s">
        <v>76</v>
      </c>
      <c r="X9" t="s">
        <v>76</v>
      </c>
    </row>
    <row r="10" spans="2:24" hidden="1" outlineLevel="1" x14ac:dyDescent="0.25">
      <c r="B10" s="7" t="s">
        <v>231</v>
      </c>
      <c r="L10" s="33">
        <f>L9+2%</f>
        <v>3.9151282051282051E-2</v>
      </c>
      <c r="M10" s="33">
        <f t="shared" ref="M10:N10" si="2">M9+2%</f>
        <v>3.9151282051282051E-2</v>
      </c>
      <c r="N10" s="146">
        <f t="shared" si="2"/>
        <v>3.9151282051282051E-2</v>
      </c>
      <c r="O10" s="33">
        <v>5.5E-2</v>
      </c>
      <c r="P10" s="33">
        <v>0.05</v>
      </c>
      <c r="Q10" s="33">
        <v>0.05</v>
      </c>
      <c r="R10" s="33">
        <v>0.05</v>
      </c>
      <c r="T10" t="s">
        <v>77</v>
      </c>
      <c r="U10" t="s">
        <v>77</v>
      </c>
      <c r="V10" t="s">
        <v>77</v>
      </c>
      <c r="W10" t="s">
        <v>77</v>
      </c>
      <c r="X10" t="s">
        <v>77</v>
      </c>
    </row>
    <row r="11" spans="2:24" hidden="1" outlineLevel="1" x14ac:dyDescent="0.25">
      <c r="B11" s="7" t="s">
        <v>230</v>
      </c>
      <c r="F11" s="33">
        <v>4.4999999999999998E-2</v>
      </c>
      <c r="G11" s="33">
        <v>0.08</v>
      </c>
      <c r="H11" s="33">
        <v>0.125</v>
      </c>
      <c r="I11" s="33">
        <v>0.25</v>
      </c>
      <c r="J11" s="33">
        <v>0.5</v>
      </c>
      <c r="N11" s="146"/>
      <c r="O11" s="33"/>
      <c r="P11" s="33"/>
    </row>
    <row r="12" spans="2:24" collapsed="1" x14ac:dyDescent="0.25">
      <c r="E12" s="8" t="s">
        <v>419</v>
      </c>
      <c r="F12" s="23">
        <f>F21/E21-1</f>
        <v>0.28944108704246085</v>
      </c>
      <c r="G12" s="23">
        <f>G21/F21-1</f>
        <v>0.40912159683353089</v>
      </c>
      <c r="H12" s="23">
        <f>H21/G21-1</f>
        <v>2.5364188194585191E-2</v>
      </c>
      <c r="I12" s="23">
        <f>I21/H21-1</f>
        <v>0.13229101773862229</v>
      </c>
      <c r="J12" s="23">
        <f>J21/I21-1</f>
        <v>1.7696891674197746E-2</v>
      </c>
      <c r="L12" s="23">
        <f>L21/J21-1</f>
        <v>3.9151282051282044E-2</v>
      </c>
      <c r="M12" s="23">
        <f>M21/J21-1</f>
        <v>-0.29720008740700155</v>
      </c>
      <c r="N12" s="147">
        <f>N21/J21-1</f>
        <v>-8.7417424359842788E-2</v>
      </c>
      <c r="O12" s="23">
        <f>O21/N21-1</f>
        <v>4.8605405405405477E-2</v>
      </c>
      <c r="P12" s="23">
        <f>P21/O21-1</f>
        <v>5.0927956989247125E-2</v>
      </c>
      <c r="Q12" s="23">
        <f>Q21/P21-1</f>
        <v>4.9696928889187086E-2</v>
      </c>
      <c r="R12" s="23">
        <f>R21/Q21-1</f>
        <v>4.9276314667024312E-2</v>
      </c>
    </row>
    <row r="13" spans="2:24" x14ac:dyDescent="0.25">
      <c r="B13" s="7" t="s">
        <v>0</v>
      </c>
      <c r="C13" s="29" t="s">
        <v>64</v>
      </c>
      <c r="D13" s="29" t="s">
        <v>63</v>
      </c>
      <c r="E13" s="37" t="s">
        <v>2</v>
      </c>
      <c r="F13" s="37" t="s">
        <v>21</v>
      </c>
      <c r="G13" s="37" t="s">
        <v>1</v>
      </c>
      <c r="H13" s="37" t="s">
        <v>22</v>
      </c>
      <c r="I13" s="37" t="s">
        <v>23</v>
      </c>
      <c r="J13" s="37" t="s">
        <v>66</v>
      </c>
      <c r="K13" s="38" t="s">
        <v>59</v>
      </c>
      <c r="L13" s="84" t="s">
        <v>67</v>
      </c>
      <c r="M13" s="85" t="s">
        <v>67</v>
      </c>
      <c r="N13" s="143" t="s">
        <v>67</v>
      </c>
      <c r="O13" s="88" t="s">
        <v>68</v>
      </c>
      <c r="P13" s="88" t="s">
        <v>69</v>
      </c>
      <c r="Q13" s="88" t="s">
        <v>70</v>
      </c>
      <c r="R13" s="88" t="s">
        <v>71</v>
      </c>
    </row>
    <row r="14" spans="2:24" x14ac:dyDescent="0.25">
      <c r="B14" s="7" t="s">
        <v>30</v>
      </c>
      <c r="C14" s="30"/>
      <c r="D14" s="30"/>
      <c r="E14" s="4"/>
      <c r="F14" s="4"/>
      <c r="G14" s="4"/>
      <c r="H14" s="4"/>
      <c r="I14" s="4"/>
      <c r="L14" s="33">
        <f>IF(T6=1,L9+5%,IF(T6=2,(L9+2%),(L9-1%)))</f>
        <v>3.9151282051282051E-2</v>
      </c>
      <c r="M14" s="33">
        <f>IF(T6=1,M9+5%,IF(T6=2,(M9+2%),(M9-1%)))</f>
        <v>3.9151282051282051E-2</v>
      </c>
      <c r="N14" s="146">
        <f>IF(T6=1,N9+5%,IF(T6=2,(N9+2%),(N9-1%)))</f>
        <v>3.9151282051282051E-2</v>
      </c>
      <c r="O14" s="33">
        <f>IF(U6=1,O9+5%,IF(U6=2,(O9+2%),(O9-1%)))</f>
        <v>4.8605405405405429E-2</v>
      </c>
      <c r="P14" s="33">
        <f>IF(V6=1,P9+5%,IF(V6=2,(P9+2%),(P9-1%)))</f>
        <v>5.0927956989247319E-2</v>
      </c>
      <c r="Q14" s="33">
        <f>IF(W6=1,Q9+5%,IF(W6=2,(Q9+2%),(Q9-1%)))</f>
        <v>4.9696928889186961E-2</v>
      </c>
      <c r="R14" s="33">
        <f>IF(X6=1,R9+5%,IF(X6=2,(R9+2%),(R9-1%)))</f>
        <v>4.9276314667024354E-2</v>
      </c>
    </row>
    <row r="15" spans="2:24" hidden="1" outlineLevel="1" x14ac:dyDescent="0.25">
      <c r="B15" s="1" t="s">
        <v>20</v>
      </c>
      <c r="C15" s="31"/>
      <c r="D15" s="31"/>
      <c r="E15" s="2">
        <v>2005350575.23</v>
      </c>
      <c r="F15" s="2">
        <v>-263981965</v>
      </c>
      <c r="G15" s="2">
        <v>1898441929</v>
      </c>
      <c r="H15" s="2">
        <v>2438675142</v>
      </c>
      <c r="I15" s="2">
        <v>3348330513</v>
      </c>
      <c r="J15" s="25">
        <v>3624850097</v>
      </c>
      <c r="K15" s="33">
        <f>+J15/$J$21</f>
        <v>0.98138269468813055</v>
      </c>
      <c r="L15" s="34">
        <f>J15*(1+$L$14)</f>
        <v>3766767625.5412641</v>
      </c>
      <c r="M15" s="34">
        <f>AVERAGE(E15:J15)*(1+$M$14)</f>
        <v>2260442626.5728593</v>
      </c>
      <c r="N15" s="148">
        <f>((F15*(1+$F$8))*$F$11)+((G15*(1+$G$8))*$G$11)+ ((H15*(1+$H$8))*$H$11)+((I15*(1+$I$8))*$I$11)+((J15*(1+$N$14))*$J$11)</f>
        <v>3212312565.7244844</v>
      </c>
      <c r="O15" s="34">
        <f>N15*(1+$O$14)</f>
        <v>3368448320.270401</v>
      </c>
      <c r="P15" s="34">
        <f>O15*(1+$P$14)</f>
        <v>3539996511.4456344</v>
      </c>
      <c r="Q15" s="34">
        <f>P15*(1+$Q$14)</f>
        <v>3715923466.3429174</v>
      </c>
      <c r="R15" s="34">
        <f>Q15*(1+$R$14)</f>
        <v>3899030480.3490109</v>
      </c>
    </row>
    <row r="16" spans="2:24" hidden="1" outlineLevel="1" x14ac:dyDescent="0.25">
      <c r="B16" s="1" t="s">
        <v>60</v>
      </c>
      <c r="C16" s="31">
        <v>74500</v>
      </c>
      <c r="D16" s="31"/>
      <c r="E16" s="2">
        <v>94668566</v>
      </c>
      <c r="F16" s="2">
        <v>55014886</v>
      </c>
      <c r="G16" s="2">
        <v>66388676</v>
      </c>
      <c r="H16" s="2">
        <v>9926485</v>
      </c>
      <c r="I16" s="2">
        <v>52446894</v>
      </c>
      <c r="J16" s="25">
        <v>28396998</v>
      </c>
      <c r="K16" s="33">
        <f t="shared" ref="K16:K20" si="3">+J16/$J$21</f>
        <v>7.6881310047435744E-3</v>
      </c>
      <c r="L16" s="34">
        <f t="shared" ref="L16:L20" si="4">J16*(1+$L$14)</f>
        <v>29508776.878107693</v>
      </c>
      <c r="M16" s="34">
        <f>AVERAGE(F16:J16)*(1+$M$14)</f>
        <v>44096164.145944096</v>
      </c>
      <c r="N16" s="148">
        <f>((F16*(1+$F$8))*$F$11)+((G16*(1+$G$8))*$G$11)+ ((H16*(1+$H$8))*$H$11)+((I16*(1+$I$8))*$I$11)+((J16*(1+$N$14))*$J$11)</f>
        <v>37834379.235715352</v>
      </c>
      <c r="O16" s="34">
        <f>N16*(1+$O$14)</f>
        <v>39673334.576729149</v>
      </c>
      <c r="P16" s="34">
        <f>O16*(1+$P$14)</f>
        <v>41693816.453672834</v>
      </c>
      <c r="Q16" s="34">
        <f>P16*(1+$Q$14)</f>
        <v>43765871.085089825</v>
      </c>
      <c r="R16" s="34">
        <f>Q16*(1+$R$14)</f>
        <v>45922491.920355134</v>
      </c>
    </row>
    <row r="17" spans="2:25" hidden="1" outlineLevel="1" x14ac:dyDescent="0.25">
      <c r="B17" s="1" t="s">
        <v>27</v>
      </c>
      <c r="C17" s="31"/>
      <c r="D17" s="31"/>
      <c r="E17" s="2">
        <v>0</v>
      </c>
      <c r="F17" s="2">
        <v>0</v>
      </c>
      <c r="G17" s="2">
        <v>0</v>
      </c>
      <c r="H17" s="2">
        <v>0</v>
      </c>
      <c r="I17" s="2">
        <v>60000000</v>
      </c>
      <c r="J17" s="25">
        <v>0</v>
      </c>
      <c r="K17" s="33">
        <f t="shared" si="3"/>
        <v>0</v>
      </c>
      <c r="L17" s="34">
        <f t="shared" si="4"/>
        <v>0</v>
      </c>
      <c r="M17" s="34">
        <f>AVERAGE(F17:J17)*(1+$M$14)</f>
        <v>12469815.384615384</v>
      </c>
      <c r="N17" s="148">
        <f>((F17*(1+$F$8))*$F$11)+((G17*(1+$G$8))*$G$11)+ ((H17*(1+$H$8))*$H$11)+((I17*(1+$I$8))*$I$11)+((J17*(1+$N$14))*$J$11)</f>
        <v>15477000</v>
      </c>
      <c r="O17" s="34">
        <f t="shared" ref="O17:O20" si="5">N17*(1+$O$14)</f>
        <v>16229265.85945946</v>
      </c>
      <c r="P17" s="34">
        <f t="shared" ref="P17:P20" si="6">O17*(1+$P$14)</f>
        <v>17055789.21311707</v>
      </c>
      <c r="Q17" s="34">
        <f t="shared" ref="Q17:Q20" si="7">P17*(1+$Q$14)</f>
        <v>17903409.556790311</v>
      </c>
      <c r="R17" s="34">
        <f t="shared" ref="R17:R20" si="8">Q17*(1+$R$14)</f>
        <v>18785623.59972332</v>
      </c>
    </row>
    <row r="18" spans="2:25" hidden="1" outlineLevel="1" x14ac:dyDescent="0.25">
      <c r="B18" s="1" t="s">
        <v>16</v>
      </c>
      <c r="C18" s="31"/>
      <c r="D18" s="31"/>
      <c r="E18" s="2">
        <v>45006588.640000001</v>
      </c>
      <c r="F18" s="2">
        <v>117731990.03999999</v>
      </c>
      <c r="G18" s="2">
        <v>202555856.52000001</v>
      </c>
      <c r="H18" s="2">
        <v>78762085.430000007</v>
      </c>
      <c r="I18" s="2">
        <v>13422216</v>
      </c>
      <c r="J18" s="25"/>
      <c r="K18" s="33">
        <f t="shared" si="3"/>
        <v>0</v>
      </c>
      <c r="L18" s="34">
        <f t="shared" si="4"/>
        <v>0</v>
      </c>
      <c r="M18" s="34">
        <f>AVERAGE(F18:J18)*(1+$M$14)</f>
        <v>107155240.34856366</v>
      </c>
      <c r="N18" s="148">
        <f>((F18*(1+$F$8))*$F$11)+((G18*(1+$G$8))*$G$11)+ ((H18*(1+$H$8))*$H$11)+((I18*(1+$I$8))*$I$11)+((J18*(1+$N$14))*$J$11)</f>
        <v>36503027.978759736</v>
      </c>
      <c r="O18" s="34">
        <f t="shared" si="5"/>
        <v>38277272.45219221</v>
      </c>
      <c r="P18" s="34">
        <f t="shared" si="6"/>
        <v>40226655.73730316</v>
      </c>
      <c r="Q18" s="34">
        <f t="shared" si="7"/>
        <v>42225796.986929715</v>
      </c>
      <c r="R18" s="34">
        <f t="shared" si="8"/>
        <v>44306528.646323547</v>
      </c>
    </row>
    <row r="19" spans="2:25" hidden="1" outlineLevel="1" x14ac:dyDescent="0.25">
      <c r="B19" s="1" t="s">
        <v>19</v>
      </c>
      <c r="C19" s="31"/>
      <c r="D19" s="31"/>
      <c r="E19" s="2">
        <v>-34670770</v>
      </c>
      <c r="F19" s="2">
        <v>680482957</v>
      </c>
      <c r="G19" s="2">
        <v>-26939000</v>
      </c>
      <c r="H19" s="2">
        <v>132284402</v>
      </c>
      <c r="I19" s="2">
        <v>0</v>
      </c>
      <c r="J19" s="25">
        <v>40368165</v>
      </c>
      <c r="K19" s="33">
        <f t="shared" si="3"/>
        <v>1.0929174307125859E-2</v>
      </c>
      <c r="L19" s="34">
        <f t="shared" si="4"/>
        <v>41948630.41380769</v>
      </c>
      <c r="M19" s="34">
        <f>AVERAGE(F19:J19)*(1+$M$14)</f>
        <v>171708635.42818257</v>
      </c>
      <c r="N19" s="148">
        <f>((F19*(1+$F$8))*$F$11)+((G19*(1+$G$8))*$G$11)+ ((H19*(1+$H$8))*$H$11)+((I19*(1+$I$8))*$I$11)+((J19*(1+$N$14))*$J$11)</f>
        <v>68601954.455629349</v>
      </c>
      <c r="O19" s="34">
        <f t="shared" si="5"/>
        <v>71936380.263548374</v>
      </c>
      <c r="P19" s="34">
        <f t="shared" si="6"/>
        <v>75599953.143572509</v>
      </c>
      <c r="Q19" s="34">
        <f t="shared" si="7"/>
        <v>79357038.638974488</v>
      </c>
      <c r="R19" s="34">
        <f t="shared" si="8"/>
        <v>83267461.045991808</v>
      </c>
    </row>
    <row r="20" spans="2:25" s="137" customFormat="1" hidden="1" outlineLevel="1" x14ac:dyDescent="0.25">
      <c r="B20" s="132" t="s">
        <v>61</v>
      </c>
      <c r="C20" s="32"/>
      <c r="D20" s="32"/>
      <c r="E20" s="133">
        <v>-389885274.87</v>
      </c>
      <c r="F20" s="133">
        <v>1629196432.8100002</v>
      </c>
      <c r="G20" s="133">
        <v>985610314.1799984</v>
      </c>
      <c r="H20" s="133">
        <v>545699579</v>
      </c>
      <c r="I20" s="133">
        <v>155186779</v>
      </c>
      <c r="J20" s="134"/>
      <c r="K20" s="131">
        <f t="shared" si="3"/>
        <v>0</v>
      </c>
      <c r="L20" s="136">
        <f t="shared" si="4"/>
        <v>0</v>
      </c>
      <c r="M20" s="136">
        <f>AVERAGE(E20:J20)*(1+$M$14)</f>
        <v>608071391.54097521</v>
      </c>
      <c r="N20" s="149">
        <f>(((F20*(1+$F$8))*$F$11)+((G20*(1+$G$8))*$G$11)+ ((H20*(1+$H$8))*$H$11)+((I20*(1+$I$8))*$I$11)+((J20*(1+$N$14))*$J$11))</f>
        <v>272692585.10432106</v>
      </c>
      <c r="O20" s="136">
        <f t="shared" si="5"/>
        <v>285946918.75436461</v>
      </c>
      <c r="P20" s="136">
        <f t="shared" si="6"/>
        <v>300509611.13389468</v>
      </c>
      <c r="Q20" s="136">
        <f t="shared" si="7"/>
        <v>315444015.90893304</v>
      </c>
      <c r="R20" s="136">
        <f t="shared" si="8"/>
        <v>330987934.49669147</v>
      </c>
      <c r="T20" s="138">
        <v>608071391.54097521</v>
      </c>
      <c r="U20" s="139">
        <v>272692585.10432106</v>
      </c>
      <c r="V20" s="135"/>
      <c r="W20" s="135"/>
      <c r="X20" s="135"/>
      <c r="Y20" s="135"/>
    </row>
    <row r="21" spans="2:25" collapsed="1" x14ac:dyDescent="0.25">
      <c r="B21" s="6" t="s">
        <v>31</v>
      </c>
      <c r="C21" s="30">
        <f t="shared" ref="C21:J21" si="9">SUM(C15:C20)</f>
        <v>74500</v>
      </c>
      <c r="D21" s="30">
        <f t="shared" si="9"/>
        <v>0</v>
      </c>
      <c r="E21" s="8">
        <f t="shared" si="9"/>
        <v>1720469685</v>
      </c>
      <c r="F21" s="8">
        <f t="shared" si="9"/>
        <v>2218444300.8500004</v>
      </c>
      <c r="G21" s="8">
        <f t="shared" si="9"/>
        <v>3126057775.6999984</v>
      </c>
      <c r="H21" s="8">
        <f t="shared" si="9"/>
        <v>3205347693.4299998</v>
      </c>
      <c r="I21" s="8">
        <f t="shared" si="9"/>
        <v>3629386402</v>
      </c>
      <c r="J21" s="8">
        <f t="shared" si="9"/>
        <v>3693615260</v>
      </c>
      <c r="K21" s="39"/>
      <c r="L21" s="8">
        <f>SUM(L15:L20)</f>
        <v>3838225032.8331795</v>
      </c>
      <c r="M21" s="8">
        <f>SUM(M15:M20)-T20</f>
        <v>2595872481.8801651</v>
      </c>
      <c r="N21" s="150">
        <f>SUM(N15:N20)-U20</f>
        <v>3370728927.3945889</v>
      </c>
      <c r="O21" s="8">
        <f>SUM(O15:O20)-O20</f>
        <v>3534564573.4223304</v>
      </c>
      <c r="P21" s="8">
        <f t="shared" ref="P21:R21" si="10">SUM(P15:P20)-P20</f>
        <v>3714572725.9932995</v>
      </c>
      <c r="Q21" s="8">
        <f t="shared" si="10"/>
        <v>3899175582.610702</v>
      </c>
      <c r="R21" s="8">
        <f t="shared" si="10"/>
        <v>4091312585.5614052</v>
      </c>
    </row>
    <row r="22" spans="2:25" x14ac:dyDescent="0.25">
      <c r="B22" s="1"/>
      <c r="C22" s="31"/>
      <c r="D22" s="31"/>
      <c r="J22" s="26"/>
      <c r="K22" s="39"/>
      <c r="M22" s="34"/>
      <c r="N22" s="148"/>
    </row>
    <row r="23" spans="2:25" x14ac:dyDescent="0.25">
      <c r="B23" s="22" t="s">
        <v>32</v>
      </c>
      <c r="C23" s="32"/>
      <c r="D23" s="32"/>
      <c r="E23" s="8" t="s">
        <v>420</v>
      </c>
      <c r="F23" s="23">
        <f>F33/E33-1</f>
        <v>0.43362492832477706</v>
      </c>
      <c r="G23" s="23">
        <f>G33/F33-1</f>
        <v>0.41683234597708529</v>
      </c>
      <c r="H23" s="23">
        <f>H33/G33-1</f>
        <v>0.23886796502355145</v>
      </c>
      <c r="I23" s="23">
        <f>I33/H33-1</f>
        <v>9.556774855856065E-2</v>
      </c>
      <c r="J23" s="23">
        <f>J33/I33-1</f>
        <v>-0.32606413127823064</v>
      </c>
      <c r="K23" s="39"/>
      <c r="L23" s="23">
        <f>L33/J33-1</f>
        <v>3.4561560877355957E-2</v>
      </c>
      <c r="M23" s="23">
        <f>M33/J33-1</f>
        <v>0.18052305032226301</v>
      </c>
      <c r="N23" s="147">
        <f>N33/J33-1</f>
        <v>0.20581646230957573</v>
      </c>
      <c r="O23" s="23">
        <f>O33/N33-1</f>
        <v>4.9420614853406653E-2</v>
      </c>
      <c r="P23" s="23">
        <f>P33/O33-1</f>
        <v>4.6048447334416709E-2</v>
      </c>
      <c r="Q23" s="23">
        <f t="shared" ref="Q23:R23" si="11">Q33/P33-1</f>
        <v>4.5854195575544932E-2</v>
      </c>
      <c r="R23" s="23">
        <f t="shared" si="11"/>
        <v>4.5833682731036385E-2</v>
      </c>
    </row>
    <row r="24" spans="2:25" outlineLevel="1" x14ac:dyDescent="0.25">
      <c r="B24" s="14" t="s">
        <v>41</v>
      </c>
      <c r="C24" s="31"/>
      <c r="D24" s="31"/>
      <c r="E24" s="2">
        <v>0</v>
      </c>
      <c r="F24" s="2">
        <v>-13570000</v>
      </c>
      <c r="G24" s="2">
        <v>0</v>
      </c>
      <c r="H24" s="2">
        <v>-37279575</v>
      </c>
      <c r="I24" s="2">
        <v>-33373550</v>
      </c>
      <c r="J24" s="25">
        <v>-2600000</v>
      </c>
      <c r="K24" s="33">
        <f>+J24/$J$33</f>
        <v>9.9303809977322756E-4</v>
      </c>
      <c r="L24" s="34">
        <f>J24*(1+$L$9)</f>
        <v>-2649793.3333333335</v>
      </c>
      <c r="M24" s="34">
        <f>AVERAGE(F24:J24)*(1+$M$9)</f>
        <v>-17697179.831089742</v>
      </c>
      <c r="N24" s="148">
        <f>((F24*(1+$F$8))*$F$11)+((G24*(1+$G$8))*$G$11)+ ((H24*(1+$H$8))*$H$11)+((I24*(1+$I$8))*$I$11)+((J24*(1+$N$9))*$J$11)</f>
        <v>-15436133.596354166</v>
      </c>
      <c r="O24" s="34">
        <f>N24*(1+$O$9)</f>
        <v>-15877690.455769876</v>
      </c>
      <c r="P24" s="34">
        <f>O24*(1+$P$9)</f>
        <v>-16368754.98327451</v>
      </c>
      <c r="Q24" s="34">
        <f>P24*(1+$Q$9)</f>
        <v>-16854856.736017335</v>
      </c>
      <c r="R24" s="34">
        <f>Q24*(1+$R$9)</f>
        <v>-17348304.825488593</v>
      </c>
    </row>
    <row r="25" spans="2:25" outlineLevel="1" x14ac:dyDescent="0.25">
      <c r="B25" s="14" t="s">
        <v>37</v>
      </c>
      <c r="C25" s="31"/>
      <c r="D25" s="31"/>
      <c r="E25" s="2">
        <v>-22650000</v>
      </c>
      <c r="F25" s="2">
        <v>0</v>
      </c>
      <c r="G25" s="2">
        <v>0</v>
      </c>
      <c r="H25" s="2">
        <v>0</v>
      </c>
      <c r="I25" s="2">
        <v>0</v>
      </c>
      <c r="J25" s="25">
        <v>0</v>
      </c>
      <c r="K25" s="33">
        <f t="shared" ref="K25:K32" si="12">+J25/$J$33</f>
        <v>0</v>
      </c>
      <c r="L25" s="34">
        <f>J25*(1+$L$10)</f>
        <v>0</v>
      </c>
      <c r="M25" s="34">
        <f>AVERAGE(F25:J25)*(1+$M$10)</f>
        <v>0</v>
      </c>
      <c r="N25" s="148">
        <f>((F25*(1+$F$8))*$F$11)+((G25*(1+$G$8))*$G$11)+ ((H25*(1+$H$8))*$H$11)+((I25*(1+$I$8))*$I$11)+((J25*(1+$N$10))*$J$11)</f>
        <v>0</v>
      </c>
      <c r="O25" s="34">
        <f>N25*(1+$O$10)</f>
        <v>0</v>
      </c>
      <c r="P25" s="34">
        <f>O25*(1+$P$10)</f>
        <v>0</v>
      </c>
      <c r="Q25" s="34">
        <f>P25*(1+$Q$10)</f>
        <v>0</v>
      </c>
      <c r="R25" s="34">
        <f>Q25*(1+$R$10)</f>
        <v>0</v>
      </c>
    </row>
    <row r="26" spans="2:25" outlineLevel="1" x14ac:dyDescent="0.25">
      <c r="B26" s="14" t="s">
        <v>42</v>
      </c>
      <c r="C26" s="28">
        <v>-14944027</v>
      </c>
      <c r="D26" s="31"/>
      <c r="E26" s="2">
        <v>-1102339180</v>
      </c>
      <c r="F26" s="2">
        <v>-1640432699</v>
      </c>
      <c r="G26" s="2">
        <v>-2245015412</v>
      </c>
      <c r="H26" s="2">
        <v>-2776649620</v>
      </c>
      <c r="I26" s="2">
        <v>-3146106920</v>
      </c>
      <c r="J26" s="25">
        <v>-2017381053</v>
      </c>
      <c r="K26" s="97">
        <f t="shared" si="12"/>
        <v>0.77051394130370487</v>
      </c>
      <c r="L26" s="34">
        <f>J26*(1+$L$10)</f>
        <v>-2096364107.6109154</v>
      </c>
      <c r="M26" s="34">
        <f>AVERAGE(F26:J26)*(1+$M$10)</f>
        <v>-2457714509.0637827</v>
      </c>
      <c r="N26" s="148">
        <f>((F26*(1+$F$8))*$F$11)+((G26*(1+$G$8))*$G$11)+ ((H26*(1+$H$8))*$H$11)+((I26*(1+$I$8))*$I$11)+((J26*(1+$N$10))*$J$11)</f>
        <v>-2489742511.0294113</v>
      </c>
      <c r="O26" s="34">
        <f>N26*(1+$O$10)</f>
        <v>-2626678349.1360288</v>
      </c>
      <c r="P26" s="34">
        <f>O26*(1+$P$10)</f>
        <v>-2758012266.5928302</v>
      </c>
      <c r="Q26" s="34">
        <f>P26*(1+$Q$10)</f>
        <v>-2895912879.922472</v>
      </c>
      <c r="R26" s="34">
        <f>Q26*(1+$R$10)</f>
        <v>-3040708523.9185958</v>
      </c>
    </row>
    <row r="27" spans="2:25" outlineLevel="1" x14ac:dyDescent="0.25">
      <c r="B27" s="14" t="s">
        <v>38</v>
      </c>
      <c r="C27" s="28">
        <v>-34064617</v>
      </c>
      <c r="D27" s="28">
        <v>-7030050</v>
      </c>
      <c r="E27" s="2">
        <v>-170770353</v>
      </c>
      <c r="F27" s="2">
        <v>-212031878</v>
      </c>
      <c r="G27" s="2">
        <v>-229534692</v>
      </c>
      <c r="H27" s="2">
        <v>-200054334</v>
      </c>
      <c r="I27" s="2">
        <v>-159927043</v>
      </c>
      <c r="J27" s="25">
        <v>-89313366</v>
      </c>
      <c r="K27" s="33">
        <f t="shared" si="12"/>
        <v>3.4112144329611842E-2</v>
      </c>
      <c r="L27" s="34">
        <f t="shared" ref="L27:L32" si="13">J27*(1+$L$9)</f>
        <v>-91023831.463215381</v>
      </c>
      <c r="M27" s="34">
        <f t="shared" ref="M27:M32" si="14">AVERAGE(F27:J27)*(1+$M$9)</f>
        <v>-181584489.85476768</v>
      </c>
      <c r="N27" s="148">
        <f t="shared" ref="N27:N32" si="15">((F27*(1+$F$8))*$F$11)+((G27*(1+$G$8))*$G$11)+ ((H27*(1+$H$8))*$H$11)+((I27*(1+$I$8))*$I$11)+((J27*(1+$N$9))*$J$11)</f>
        <v>-142400690.57555968</v>
      </c>
      <c r="O27" s="34">
        <f t="shared" ref="O27:O31" si="16">N27*(1+$O$9)</f>
        <v>-146474120.05948326</v>
      </c>
      <c r="P27" s="34">
        <f t="shared" ref="P27:P31" si="17">O27*(1+$P$9)</f>
        <v>-151004265.34472081</v>
      </c>
      <c r="Q27" s="34">
        <f t="shared" ref="Q27:Q31" si="18">P27*(1+$Q$9)</f>
        <v>-155488628.27462688</v>
      </c>
      <c r="R27" s="34">
        <f t="shared" ref="R27:R32" si="19">Q27*(1+$R$9)</f>
        <v>-160040762.28313884</v>
      </c>
    </row>
    <row r="28" spans="2:25" outlineLevel="1" x14ac:dyDescent="0.25">
      <c r="B28" s="14" t="s">
        <v>39</v>
      </c>
      <c r="C28" s="31"/>
      <c r="D28" s="31"/>
      <c r="E28" s="2">
        <v>-82940000</v>
      </c>
      <c r="F28" s="2">
        <v>-98351760</v>
      </c>
      <c r="G28" s="2">
        <v>-362956995</v>
      </c>
      <c r="H28" s="2">
        <v>-456326150</v>
      </c>
      <c r="I28" s="2">
        <v>-491955892</v>
      </c>
      <c r="J28" s="25">
        <v>-457763325</v>
      </c>
      <c r="K28" s="33">
        <f t="shared" si="12"/>
        <v>0.17483708553995167</v>
      </c>
      <c r="L28" s="34">
        <f t="shared" si="13"/>
        <v>-466530079.54980767</v>
      </c>
      <c r="M28" s="34">
        <f t="shared" si="14"/>
        <v>-380623269.49600917</v>
      </c>
      <c r="N28" s="148">
        <f t="shared" si="15"/>
        <v>-454970417.92201883</v>
      </c>
      <c r="O28" s="34">
        <f t="shared" si="16"/>
        <v>-467985031.17414492</v>
      </c>
      <c r="P28" s="34">
        <f t="shared" si="17"/>
        <v>-482458852.08991045</v>
      </c>
      <c r="Q28" s="34">
        <f t="shared" si="18"/>
        <v>-496786398.31238323</v>
      </c>
      <c r="R28" s="34">
        <f t="shared" si="19"/>
        <v>-511330473.23167425</v>
      </c>
    </row>
    <row r="29" spans="2:25" outlineLevel="1" x14ac:dyDescent="0.25">
      <c r="B29" s="1" t="s">
        <v>40</v>
      </c>
      <c r="C29" s="31"/>
      <c r="D29" s="31"/>
      <c r="F29" s="2">
        <v>-55868430</v>
      </c>
      <c r="G29" s="2">
        <v>-1910349</v>
      </c>
      <c r="H29" s="2">
        <v>-51917400</v>
      </c>
      <c r="I29" s="2">
        <v>-6249936</v>
      </c>
      <c r="J29" s="25">
        <v>0</v>
      </c>
      <c r="K29" s="33">
        <f t="shared" si="12"/>
        <v>0</v>
      </c>
      <c r="L29" s="34">
        <f t="shared" si="13"/>
        <v>0</v>
      </c>
      <c r="M29" s="34">
        <f t="shared" si="14"/>
        <v>-23633326.350223076</v>
      </c>
      <c r="N29" s="148">
        <f t="shared" si="15"/>
        <v>-11213171.746095</v>
      </c>
      <c r="O29" s="34">
        <f t="shared" si="16"/>
        <v>-11533929.069772486</v>
      </c>
      <c r="P29" s="34">
        <f t="shared" si="17"/>
        <v>-11890649.931959439</v>
      </c>
      <c r="Q29" s="34">
        <f t="shared" si="18"/>
        <v>-12243765.717435053</v>
      </c>
      <c r="R29" s="34">
        <f t="shared" si="19"/>
        <v>-12602218.055288006</v>
      </c>
    </row>
    <row r="30" spans="2:25" outlineLevel="1" x14ac:dyDescent="0.25">
      <c r="B30" s="1" t="s">
        <v>43</v>
      </c>
      <c r="C30" s="31"/>
      <c r="D30" s="31"/>
      <c r="E30" s="2">
        <v>-30493853</v>
      </c>
      <c r="F30" s="2">
        <v>0</v>
      </c>
      <c r="G30" s="2">
        <v>-22944853</v>
      </c>
      <c r="H30" s="2">
        <v>-23861880</v>
      </c>
      <c r="I30" s="2">
        <v>0</v>
      </c>
      <c r="J30" s="25">
        <v>-51170097</v>
      </c>
      <c r="K30" s="33">
        <f>+J30/$J$33</f>
        <v>1.9543790726958356E-2</v>
      </c>
      <c r="L30" s="34">
        <f>J30*(1+$L$9)</f>
        <v>-52150069.960238457</v>
      </c>
      <c r="M30" s="34">
        <f>AVERAGE(F30:J30)*(1+$M$9)</f>
        <v>-19970642.381164104</v>
      </c>
      <c r="N30" s="148">
        <f>((F30*(1+$F$8))*$F$11)+((G30*(1+$G$8))*$G$11)+ ((H30*(1+$H$8))*$H$11)+((I30*(1+$I$8))*$I$11)+((J30*(1+$N$9))*$J$11)</f>
        <v>-31120898.40541923</v>
      </c>
      <c r="O30" s="34">
        <f>N30*(1+$O$9)</f>
        <v>-32011124.320886683</v>
      </c>
      <c r="P30" s="34">
        <f t="shared" si="17"/>
        <v>-33001162.997060515</v>
      </c>
      <c r="Q30" s="34">
        <f t="shared" si="18"/>
        <v>-33981196.187844686</v>
      </c>
      <c r="R30" s="34">
        <f t="shared" si="19"/>
        <v>-34976040.380201913</v>
      </c>
    </row>
    <row r="31" spans="2:25" hidden="1" outlineLevel="1" x14ac:dyDescent="0.25">
      <c r="B31" s="1" t="s">
        <v>29</v>
      </c>
      <c r="C31" s="31"/>
      <c r="D31" s="31"/>
      <c r="F31" s="2">
        <v>0</v>
      </c>
      <c r="G31" s="2">
        <v>0</v>
      </c>
      <c r="H31" s="2">
        <v>0</v>
      </c>
      <c r="I31" s="2">
        <v>-41006500</v>
      </c>
      <c r="J31" s="25">
        <v>0</v>
      </c>
      <c r="K31" s="33">
        <f t="shared" si="12"/>
        <v>0</v>
      </c>
      <c r="L31" s="34">
        <f t="shared" si="13"/>
        <v>0</v>
      </c>
      <c r="M31" s="34">
        <f t="shared" si="14"/>
        <v>-8358365.4094871795</v>
      </c>
      <c r="N31" s="148">
        <f t="shared" si="15"/>
        <v>-10577626.675000001</v>
      </c>
      <c r="O31" s="34">
        <f t="shared" si="16"/>
        <v>-10880203.974265406</v>
      </c>
      <c r="P31" s="34">
        <f t="shared" si="17"/>
        <v>-11216706.454815725</v>
      </c>
      <c r="Q31" s="34">
        <f t="shared" si="18"/>
        <v>-11549808.188775271</v>
      </c>
      <c r="R31" s="34">
        <f t="shared" si="19"/>
        <v>-11887944.007653629</v>
      </c>
    </row>
    <row r="32" spans="2:25" outlineLevel="1" x14ac:dyDescent="0.25">
      <c r="B32" s="1" t="s">
        <v>62</v>
      </c>
      <c r="C32" s="31"/>
      <c r="D32" s="31"/>
      <c r="F32" s="2">
        <v>0</v>
      </c>
      <c r="G32" s="2">
        <v>0</v>
      </c>
      <c r="H32" s="2">
        <v>0</v>
      </c>
      <c r="I32" s="2">
        <f>-6360856+I31</f>
        <v>-47367356</v>
      </c>
      <c r="J32" s="25">
        <v>0</v>
      </c>
      <c r="K32" s="33">
        <f t="shared" si="12"/>
        <v>0</v>
      </c>
      <c r="L32" s="34">
        <f t="shared" si="13"/>
        <v>0</v>
      </c>
      <c r="M32" s="34">
        <f t="shared" si="14"/>
        <v>-9654900.3189558964</v>
      </c>
      <c r="N32" s="148">
        <f t="shared" si="15"/>
        <v>-12218409.4802</v>
      </c>
      <c r="O32" s="34">
        <f>N32*(1+$O$9)</f>
        <v>-12567922.036790371</v>
      </c>
      <c r="P32" s="34">
        <f>O32*(1+$P$9)</f>
        <v>-12956622.188988438</v>
      </c>
      <c r="Q32" s="34">
        <f>P32*(1+$Q$9)</f>
        <v>-13341394.076778889</v>
      </c>
      <c r="R32" s="34">
        <f t="shared" si="19"/>
        <v>-13731980.927867442</v>
      </c>
    </row>
    <row r="33" spans="2:18" x14ac:dyDescent="0.25">
      <c r="B33" s="9" t="s">
        <v>44</v>
      </c>
      <c r="C33" s="30">
        <f t="shared" ref="C33:J33" si="20">SUM(C24:C32)</f>
        <v>-49008644</v>
      </c>
      <c r="D33" s="30">
        <f t="shared" si="20"/>
        <v>-7030050</v>
      </c>
      <c r="E33" s="8">
        <f t="shared" si="20"/>
        <v>-1409193386</v>
      </c>
      <c r="F33" s="8">
        <f t="shared" si="20"/>
        <v>-2020254767</v>
      </c>
      <c r="G33" s="8">
        <f t="shared" si="20"/>
        <v>-2862362301</v>
      </c>
      <c r="H33" s="8">
        <f t="shared" si="20"/>
        <v>-3546088959</v>
      </c>
      <c r="I33" s="8">
        <f>SUM(I24:I32)-I31</f>
        <v>-3884980697</v>
      </c>
      <c r="J33" s="8">
        <f t="shared" si="20"/>
        <v>-2618227841</v>
      </c>
      <c r="K33" s="39"/>
      <c r="L33" s="8">
        <f>SUM(L24:L32)-L31</f>
        <v>-2708717881.91751</v>
      </c>
      <c r="M33" s="8">
        <f t="shared" ref="M33" si="21">SUM(M24:M32)-M31</f>
        <v>-3090878317.2959929</v>
      </c>
      <c r="N33" s="8">
        <f t="shared" ref="N33" si="22">SUM(N24:N32)-N31</f>
        <v>-3157102232.7550583</v>
      </c>
      <c r="O33" s="8">
        <f>SUM(O24:O32)-O31</f>
        <v>-3313128166.2528763</v>
      </c>
      <c r="P33" s="8">
        <f t="shared" ref="P33:R33" si="23">SUM(P24:P32)-P31</f>
        <v>-3465692574.1287441</v>
      </c>
      <c r="Q33" s="8">
        <f t="shared" si="23"/>
        <v>-3624609119.2275577</v>
      </c>
      <c r="R33" s="8">
        <f t="shared" si="23"/>
        <v>-3790738303.6222544</v>
      </c>
    </row>
    <row r="34" spans="2:18" ht="10.5" customHeight="1" x14ac:dyDescent="0.25">
      <c r="J34" s="27"/>
      <c r="K34" s="39"/>
      <c r="M34" s="34"/>
      <c r="N34" s="148"/>
    </row>
    <row r="35" spans="2:18" x14ac:dyDescent="0.25">
      <c r="B35" s="7" t="s">
        <v>33</v>
      </c>
      <c r="C35" s="30"/>
      <c r="D35" s="30"/>
      <c r="E35" s="8" t="s">
        <v>421</v>
      </c>
      <c r="F35" s="23">
        <f>F48/E48-1</f>
        <v>0.325609651818068</v>
      </c>
      <c r="G35" s="23">
        <f>G48/F48-1</f>
        <v>-0.37709409855197096</v>
      </c>
      <c r="H35" s="23">
        <f>H48/G48-1</f>
        <v>-3.7385544387662999</v>
      </c>
      <c r="I35" s="23">
        <f>I48/H48-1</f>
        <v>-1.1139758121659407</v>
      </c>
      <c r="J35" s="23">
        <f>J48/I48-1</f>
        <v>0.5606135693194505</v>
      </c>
      <c r="K35" s="39"/>
      <c r="L35" s="23">
        <f>L48/J48-1</f>
        <v>1.9151282051282026E-2</v>
      </c>
      <c r="M35" s="23">
        <f>M48/J48-1</f>
        <v>-0.72128742991783046</v>
      </c>
      <c r="N35" s="147">
        <f>N48/J48-1</f>
        <v>-0.72460765881142741</v>
      </c>
      <c r="O35" s="23">
        <f>O48/N48-1</f>
        <v>2.8605405405404571E-2</v>
      </c>
      <c r="P35" s="23">
        <f>P48/O48-1</f>
        <v>3.0927956989248662E-2</v>
      </c>
      <c r="Q35" s="23">
        <f>Q48/P48-1</f>
        <v>2.969692888918618E-2</v>
      </c>
      <c r="R35" s="23">
        <f>R48/Q48-1</f>
        <v>2.9276314667024295E-2</v>
      </c>
    </row>
    <row r="36" spans="2:18" hidden="1" outlineLevel="1" x14ac:dyDescent="0.25">
      <c r="B36" s="1" t="s">
        <v>46</v>
      </c>
      <c r="C36" s="31"/>
      <c r="D36" s="31"/>
      <c r="E36" s="2">
        <v>-229340</v>
      </c>
      <c r="F36" s="2">
        <v>-8259122</v>
      </c>
      <c r="G36" s="2">
        <v>0</v>
      </c>
      <c r="H36" s="2">
        <v>-1395000</v>
      </c>
      <c r="I36" s="2">
        <v>0</v>
      </c>
      <c r="J36" s="25">
        <v>-7047647</v>
      </c>
      <c r="K36" s="39">
        <f>+J36/$J$48</f>
        <v>9.967445072885997E-2</v>
      </c>
      <c r="L36" s="35">
        <f t="shared" ref="L36:L47" si="24">J36*(1+$L$9)</f>
        <v>-7182618.4754948718</v>
      </c>
      <c r="M36" s="34">
        <f t="shared" ref="M36:M47" si="25">AVERAGE(F36:J36)*(1+$M$9)</f>
        <v>-3404325.8577748714</v>
      </c>
      <c r="N36" s="148">
        <f t="shared" ref="N36:N47" si="26">((F36*(1+$F$8))*$F$11)+((G36*(1+$G$8))*$G$11)+ ((H36*(1+$H$8))*$H$11)+((I36*(1+$I$8))*$I$11)+((J36*(1+$N$9))*$J$11)</f>
        <v>-4169638.0804204359</v>
      </c>
      <c r="O36" s="2">
        <f t="shared" ref="O36:O47" si="27">N36*(1+$O$9)</f>
        <v>-4288912.268104679</v>
      </c>
      <c r="P36" s="2">
        <f t="shared" ref="P36:P47" si="28">O36*(1+$P$9)</f>
        <v>-4421559.5622632755</v>
      </c>
      <c r="Q36" s="2">
        <f t="shared" ref="Q36:Q47" si="29">P36*(1+$Q$9)</f>
        <v>-4552866.302163112</v>
      </c>
      <c r="R36" s="2">
        <f t="shared" ref="R36:R47" si="30">Q36*(1+$R$9)</f>
        <v>-4686157.4486621302</v>
      </c>
    </row>
    <row r="37" spans="2:18" hidden="1" outlineLevel="1" x14ac:dyDescent="0.25">
      <c r="B37" s="1" t="s">
        <v>47</v>
      </c>
      <c r="C37" s="28">
        <v>-875600</v>
      </c>
      <c r="D37" s="31"/>
      <c r="E37" s="2">
        <v>-4234000</v>
      </c>
      <c r="F37" s="2">
        <v>-10200000</v>
      </c>
      <c r="G37" s="2">
        <v>-14592800</v>
      </c>
      <c r="H37" s="2">
        <v>-3250000</v>
      </c>
      <c r="I37" s="2">
        <v>-4799984</v>
      </c>
      <c r="J37" s="25">
        <v>0</v>
      </c>
      <c r="K37" s="39">
        <f t="shared" ref="K37:K47" si="31">+J37/$J$48</f>
        <v>0</v>
      </c>
      <c r="L37" s="35">
        <f t="shared" si="24"/>
        <v>0</v>
      </c>
      <c r="M37" s="34">
        <f t="shared" si="25"/>
        <v>-6694353.0839466667</v>
      </c>
      <c r="N37" s="148">
        <f t="shared" si="26"/>
        <v>-3385646.6778000002</v>
      </c>
      <c r="O37" s="2">
        <f t="shared" si="27"/>
        <v>-3482494.4735779334</v>
      </c>
      <c r="P37" s="2">
        <f t="shared" si="28"/>
        <v>-3590200.9128720434</v>
      </c>
      <c r="Q37" s="2">
        <f t="shared" si="29"/>
        <v>-3696818.8540794984</v>
      </c>
      <c r="R37" s="2">
        <f t="shared" si="30"/>
        <v>-3805048.0861185179</v>
      </c>
    </row>
    <row r="38" spans="2:18" hidden="1" outlineLevel="1" x14ac:dyDescent="0.25">
      <c r="B38" s="1" t="s">
        <v>45</v>
      </c>
      <c r="C38" s="31"/>
      <c r="D38" s="31"/>
      <c r="E38" s="2">
        <v>-73293600</v>
      </c>
      <c r="F38" s="2">
        <v>-12577352</v>
      </c>
      <c r="G38" s="2">
        <v>-4500000</v>
      </c>
      <c r="H38" s="2">
        <v>-4850000</v>
      </c>
      <c r="I38" s="2">
        <v>0</v>
      </c>
      <c r="J38" s="25">
        <v>0</v>
      </c>
      <c r="K38" s="33">
        <f t="shared" si="31"/>
        <v>0</v>
      </c>
      <c r="L38" s="35">
        <f t="shared" si="24"/>
        <v>0</v>
      </c>
      <c r="M38" s="34">
        <f t="shared" si="25"/>
        <v>-4469457.7805579491</v>
      </c>
      <c r="N38" s="148">
        <f t="shared" si="26"/>
        <v>-1616043.3678680002</v>
      </c>
      <c r="O38" s="2">
        <f t="shared" si="27"/>
        <v>-1662270.9435585812</v>
      </c>
      <c r="P38" s="2">
        <f t="shared" si="28"/>
        <v>-1713681.5878054365</v>
      </c>
      <c r="Q38" s="2">
        <f t="shared" si="29"/>
        <v>-1764572.6680572033</v>
      </c>
      <c r="R38" s="2">
        <f t="shared" si="30"/>
        <v>-1816232.8527400766</v>
      </c>
    </row>
    <row r="39" spans="2:18" hidden="1" outlineLevel="1" x14ac:dyDescent="0.25">
      <c r="B39" s="1" t="s">
        <v>48</v>
      </c>
      <c r="C39" s="31"/>
      <c r="D39" s="31"/>
      <c r="F39" s="2">
        <v>0</v>
      </c>
      <c r="G39" s="2">
        <v>0</v>
      </c>
      <c r="H39" s="2">
        <v>-162593274</v>
      </c>
      <c r="I39" s="2">
        <v>0</v>
      </c>
      <c r="J39" s="25">
        <v>0</v>
      </c>
      <c r="K39" s="33">
        <f t="shared" si="31"/>
        <v>0</v>
      </c>
      <c r="L39" s="35">
        <f t="shared" si="24"/>
        <v>0</v>
      </c>
      <c r="M39" s="34">
        <f t="shared" si="25"/>
        <v>-33141428.730003078</v>
      </c>
      <c r="N39" s="148">
        <f t="shared" si="26"/>
        <v>-21155417.363325</v>
      </c>
      <c r="O39" s="2">
        <f t="shared" si="27"/>
        <v>-21760576.653523464</v>
      </c>
      <c r="P39" s="2">
        <f t="shared" si="28"/>
        <v>-22433586.832324859</v>
      </c>
      <c r="Q39" s="2">
        <f t="shared" si="29"/>
        <v>-23099795.465213809</v>
      </c>
      <c r="R39" s="2">
        <f t="shared" si="30"/>
        <v>-23776072.345997311</v>
      </c>
    </row>
    <row r="40" spans="2:18" hidden="1" outlineLevel="1" x14ac:dyDescent="0.25">
      <c r="B40" s="1" t="s">
        <v>49</v>
      </c>
      <c r="C40" s="31"/>
      <c r="D40" s="31"/>
      <c r="E40" s="2">
        <v>-1800000</v>
      </c>
      <c r="F40" s="2">
        <v>0</v>
      </c>
      <c r="G40" s="2">
        <v>0</v>
      </c>
      <c r="H40" s="2">
        <v>0</v>
      </c>
      <c r="I40" s="2">
        <v>0</v>
      </c>
      <c r="J40" s="25">
        <v>0</v>
      </c>
      <c r="K40" s="33">
        <f t="shared" si="31"/>
        <v>0</v>
      </c>
      <c r="L40" s="35">
        <f t="shared" si="24"/>
        <v>0</v>
      </c>
      <c r="M40" s="34">
        <f t="shared" si="25"/>
        <v>0</v>
      </c>
      <c r="N40" s="148">
        <f t="shared" si="26"/>
        <v>0</v>
      </c>
      <c r="O40" s="2">
        <f t="shared" si="27"/>
        <v>0</v>
      </c>
      <c r="P40" s="2">
        <f t="shared" si="28"/>
        <v>0</v>
      </c>
      <c r="Q40" s="2">
        <f t="shared" si="29"/>
        <v>0</v>
      </c>
      <c r="R40" s="2">
        <f t="shared" si="30"/>
        <v>0</v>
      </c>
    </row>
    <row r="41" spans="2:18" hidden="1" outlineLevel="1" x14ac:dyDescent="0.25">
      <c r="B41" s="1" t="s">
        <v>50</v>
      </c>
      <c r="C41" s="31"/>
      <c r="D41" s="31"/>
      <c r="E41" s="2">
        <v>-75558000</v>
      </c>
      <c r="F41" s="2">
        <v>0</v>
      </c>
      <c r="G41" s="2">
        <v>0</v>
      </c>
      <c r="H41" s="2">
        <v>0</v>
      </c>
      <c r="I41" s="2">
        <v>0</v>
      </c>
      <c r="J41" s="25">
        <v>-17683076</v>
      </c>
      <c r="K41" s="33">
        <f t="shared" si="31"/>
        <v>0.25009068806889534</v>
      </c>
      <c r="L41" s="35">
        <f t="shared" si="24"/>
        <v>-18021729.576010257</v>
      </c>
      <c r="M41" s="34">
        <f t="shared" si="25"/>
        <v>-3604345.9152020514</v>
      </c>
      <c r="N41" s="148">
        <f t="shared" si="26"/>
        <v>-9010864.7880051285</v>
      </c>
      <c r="O41" s="2">
        <f t="shared" si="27"/>
        <v>-9268624.2283193078</v>
      </c>
      <c r="P41" s="2">
        <f t="shared" si="28"/>
        <v>-9555283.8398022633</v>
      </c>
      <c r="Q41" s="2">
        <f t="shared" si="29"/>
        <v>-9839046.4245088678</v>
      </c>
      <c r="R41" s="2">
        <f t="shared" si="30"/>
        <v>-10127097.443656249</v>
      </c>
    </row>
    <row r="42" spans="2:18" hidden="1" outlineLevel="1" x14ac:dyDescent="0.25">
      <c r="B42" s="1" t="s">
        <v>51</v>
      </c>
      <c r="C42" s="31"/>
      <c r="D42" s="31"/>
      <c r="E42" s="2">
        <v>-101337400</v>
      </c>
      <c r="F42" s="2">
        <v>-94123600</v>
      </c>
      <c r="G42" s="2">
        <v>-81415913</v>
      </c>
      <c r="H42" s="2">
        <v>-154388912</v>
      </c>
      <c r="I42" s="2">
        <v>0</v>
      </c>
      <c r="J42" s="25">
        <v>-9350000</v>
      </c>
      <c r="K42" s="33">
        <f>+J42/$J$48</f>
        <v>0.13223649174183108</v>
      </c>
      <c r="L42" s="35">
        <f>J42*(1+$L$9)</f>
        <v>-9529064.4871794861</v>
      </c>
      <c r="M42" s="34">
        <f t="shared" si="25"/>
        <v>-69155208.362217948</v>
      </c>
      <c r="N42" s="148">
        <f>((F42*(1+$F$8))*$F$11)+((G42*(1+$G$8))*$G$11)+ ((H42*(1+$H$8))*$H$11)+((I42*(1+$I$8))*$I$11)+((J42*(1+$N$9))*$J$11)</f>
        <v>-36262555.343389742</v>
      </c>
      <c r="O42" s="2">
        <f t="shared" si="27"/>
        <v>-37299860.440023355</v>
      </c>
      <c r="P42" s="2">
        <f t="shared" si="28"/>
        <v>-38453468.919417329</v>
      </c>
      <c r="Q42" s="2">
        <f t="shared" si="29"/>
        <v>-39595418.851459824</v>
      </c>
      <c r="R42" s="2">
        <f t="shared" si="30"/>
        <v>-40754626.79312779</v>
      </c>
    </row>
    <row r="43" spans="2:18" hidden="1" outlineLevel="1" x14ac:dyDescent="0.25">
      <c r="B43" s="1" t="s">
        <v>52</v>
      </c>
      <c r="C43" s="31"/>
      <c r="D43" s="31"/>
      <c r="F43" s="2">
        <v>0</v>
      </c>
      <c r="G43" s="2">
        <v>0</v>
      </c>
      <c r="H43" s="2">
        <v>-450163614</v>
      </c>
      <c r="I43" s="2">
        <v>0</v>
      </c>
      <c r="J43" s="25">
        <v>0</v>
      </c>
      <c r="K43" s="33">
        <f t="shared" si="31"/>
        <v>0</v>
      </c>
      <c r="L43" s="35">
        <f t="shared" si="24"/>
        <v>0</v>
      </c>
      <c r="M43" s="34">
        <f t="shared" si="25"/>
        <v>-91756964.868187681</v>
      </c>
      <c r="N43" s="148">
        <f t="shared" si="26"/>
        <v>-58571913.226574995</v>
      </c>
      <c r="O43" s="2">
        <f t="shared" si="27"/>
        <v>-60247386.549791403</v>
      </c>
      <c r="P43" s="2">
        <f t="shared" si="28"/>
        <v>-62110715.129717909</v>
      </c>
      <c r="Q43" s="2">
        <f t="shared" si="29"/>
        <v>-63955212.62018168</v>
      </c>
      <c r="R43" s="2">
        <f t="shared" si="30"/>
        <v>-65827585.54944656</v>
      </c>
    </row>
    <row r="44" spans="2:18" hidden="1" outlineLevel="1" x14ac:dyDescent="0.25">
      <c r="B44" s="1" t="s">
        <v>53</v>
      </c>
      <c r="C44" s="31"/>
      <c r="D44" s="31"/>
      <c r="E44" s="2">
        <v>-9181910</v>
      </c>
      <c r="F44" s="2">
        <v>-85121336.900000006</v>
      </c>
      <c r="G44" s="2">
        <v>-17453130</v>
      </c>
      <c r="H44" s="2">
        <v>-17329479</v>
      </c>
      <c r="I44" s="2">
        <v>-19393660</v>
      </c>
      <c r="J44" s="25">
        <v>-21134410</v>
      </c>
      <c r="K44" s="97">
        <f t="shared" si="31"/>
        <v>0.29890269876293823</v>
      </c>
      <c r="L44" s="35">
        <f t="shared" si="24"/>
        <v>-21539161.046897434</v>
      </c>
      <c r="M44" s="34">
        <f t="shared" si="25"/>
        <v>-32700898.937311333</v>
      </c>
      <c r="N44" s="148">
        <f t="shared" si="26"/>
        <v>-23593274.068202067</v>
      </c>
      <c r="O44" s="2">
        <f t="shared" si="27"/>
        <v>-24268169.237763826</v>
      </c>
      <c r="P44" s="2">
        <f t="shared" si="28"/>
        <v>-25018734.132157162</v>
      </c>
      <c r="Q44" s="2">
        <f t="shared" si="29"/>
        <v>-25761713.700577304</v>
      </c>
      <c r="R44" s="2">
        <f t="shared" si="30"/>
        <v>-26515921.737237196</v>
      </c>
    </row>
    <row r="45" spans="2:18" hidden="1" outlineLevel="1" x14ac:dyDescent="0.25">
      <c r="B45" s="1" t="s">
        <v>17</v>
      </c>
      <c r="C45" s="31"/>
      <c r="D45" s="31"/>
      <c r="E45" s="2">
        <v>-2972287</v>
      </c>
      <c r="F45" s="2">
        <v>0</v>
      </c>
      <c r="G45" s="2">
        <v>0</v>
      </c>
      <c r="H45" s="2">
        <v>0</v>
      </c>
      <c r="I45" s="2">
        <v>0</v>
      </c>
      <c r="J45" s="25">
        <v>-13234098</v>
      </c>
      <c r="K45" s="33">
        <f t="shared" si="31"/>
        <v>0.18716905784893939</v>
      </c>
      <c r="L45" s="35">
        <f t="shared" si="24"/>
        <v>-13487547.943492308</v>
      </c>
      <c r="M45" s="34">
        <f t="shared" si="25"/>
        <v>-2697509.5886984617</v>
      </c>
      <c r="N45" s="148">
        <f t="shared" si="26"/>
        <v>-6743773.9717461541</v>
      </c>
      <c r="O45" s="2">
        <f t="shared" si="27"/>
        <v>-6936682.3601703746</v>
      </c>
      <c r="P45" s="2">
        <f t="shared" si="28"/>
        <v>-7151219.7738537947</v>
      </c>
      <c r="Q45" s="2">
        <f t="shared" si="29"/>
        <v>-7363589.0389488777</v>
      </c>
      <c r="R45" s="2">
        <f t="shared" si="30"/>
        <v>-7579167.7887317957</v>
      </c>
    </row>
    <row r="46" spans="2:18" hidden="1" outlineLevel="1" x14ac:dyDescent="0.25">
      <c r="B46" s="1" t="s">
        <v>15</v>
      </c>
      <c r="C46" s="31"/>
      <c r="D46" s="31"/>
      <c r="E46" s="2">
        <v>-3101466</v>
      </c>
      <c r="F46" s="2">
        <v>-16731510.57</v>
      </c>
      <c r="G46" s="2">
        <v>-19959435</v>
      </c>
      <c r="H46" s="2">
        <v>-17444404</v>
      </c>
      <c r="I46" s="2">
        <v>-15533744</v>
      </c>
      <c r="J46" s="25">
        <v>0</v>
      </c>
      <c r="K46" s="33">
        <f t="shared" si="31"/>
        <v>0</v>
      </c>
      <c r="L46" s="35">
        <f t="shared" si="24"/>
        <v>0</v>
      </c>
      <c r="M46" s="34">
        <f t="shared" si="25"/>
        <v>-14200669.206243243</v>
      </c>
      <c r="N46" s="148">
        <f t="shared" si="26"/>
        <v>-8769123.003851505</v>
      </c>
      <c r="O46" s="2">
        <f t="shared" si="27"/>
        <v>-9019967.3224265445</v>
      </c>
      <c r="P46" s="2">
        <f t="shared" si="28"/>
        <v>-9298936.4838189688</v>
      </c>
      <c r="Q46" s="2">
        <f t="shared" si="29"/>
        <v>-9575086.3393240049</v>
      </c>
      <c r="R46" s="2">
        <f t="shared" si="30"/>
        <v>-9855409.5799579807</v>
      </c>
    </row>
    <row r="47" spans="2:18" hidden="1" outlineLevel="1" x14ac:dyDescent="0.25">
      <c r="B47" s="1" t="s">
        <v>62</v>
      </c>
      <c r="C47" s="31"/>
      <c r="D47" s="31"/>
      <c r="E47" s="2">
        <v>95918581.769999981</v>
      </c>
      <c r="F47" s="2">
        <v>-6015232</v>
      </c>
      <c r="G47" s="2">
        <v>-7233334</v>
      </c>
      <c r="H47" s="2">
        <v>1208928490</v>
      </c>
      <c r="I47" s="2">
        <v>-5579571</v>
      </c>
      <c r="J47" s="25">
        <f>-294871-1962553</f>
        <v>-2257424</v>
      </c>
      <c r="K47" s="33">
        <f t="shared" si="31"/>
        <v>3.1926612848535971E-2</v>
      </c>
      <c r="L47" s="35">
        <f t="shared" si="24"/>
        <v>-2300656.5637333333</v>
      </c>
      <c r="M47" s="34">
        <f t="shared" si="25"/>
        <v>242118328.79318002</v>
      </c>
      <c r="N47" s="148">
        <f t="shared" si="26"/>
        <v>153806178.63312033</v>
      </c>
      <c r="O47" s="2">
        <f t="shared" si="27"/>
        <v>158205866.72677696</v>
      </c>
      <c r="P47" s="2">
        <f t="shared" si="28"/>
        <v>163098850.96834931</v>
      </c>
      <c r="Q47" s="2">
        <f t="shared" si="29"/>
        <v>167942385.94746447</v>
      </c>
      <c r="R47" s="2">
        <f t="shared" si="30"/>
        <v>172859120.08439326</v>
      </c>
    </row>
    <row r="48" spans="2:18" collapsed="1" x14ac:dyDescent="0.25">
      <c r="B48" s="9" t="s">
        <v>34</v>
      </c>
      <c r="C48" s="30">
        <f t="shared" ref="C48:J48" si="32">SUM(C36:C47)</f>
        <v>-875600</v>
      </c>
      <c r="D48" s="30">
        <f t="shared" si="32"/>
        <v>0</v>
      </c>
      <c r="E48" s="8">
        <f t="shared" si="32"/>
        <v>-175789421.23000002</v>
      </c>
      <c r="F48" s="8">
        <f t="shared" si="32"/>
        <v>-233028153.47</v>
      </c>
      <c r="G48" s="8">
        <f t="shared" si="32"/>
        <v>-145154612</v>
      </c>
      <c r="H48" s="8">
        <f>SUM(H36:H47)</f>
        <v>397513807</v>
      </c>
      <c r="I48" s="8">
        <f t="shared" si="32"/>
        <v>-45306959</v>
      </c>
      <c r="J48" s="8">
        <f t="shared" si="32"/>
        <v>-70706655</v>
      </c>
      <c r="K48" s="33"/>
      <c r="L48" s="16">
        <f>SUM(L36:L47)</f>
        <v>-72060778.092807695</v>
      </c>
      <c r="M48" s="16">
        <f>SUM(M36:M47)</f>
        <v>-19706833.536963284</v>
      </c>
      <c r="N48" s="151">
        <f>SUM(N36:N47)</f>
        <v>-19472071.25806269</v>
      </c>
      <c r="O48" s="8">
        <f t="shared" ref="O48:R48" si="33">SUM(O36:O47)</f>
        <v>-20029077.7504825</v>
      </c>
      <c r="P48" s="8">
        <f t="shared" si="33"/>
        <v>-20648536.205683738</v>
      </c>
      <c r="Q48" s="8">
        <f t="shared" si="33"/>
        <v>-21261734.317049712</v>
      </c>
      <c r="R48" s="8">
        <f t="shared" si="33"/>
        <v>-21884199.541282326</v>
      </c>
    </row>
    <row r="49" spans="2:18" x14ac:dyDescent="0.25">
      <c r="E49" s="8" t="s">
        <v>422</v>
      </c>
      <c r="F49" s="23">
        <f>F50/E50-1</f>
        <v>-1.2571364857867713</v>
      </c>
      <c r="G49" s="23">
        <f t="shared" ref="G49:R49" si="34">G50/F50-1</f>
        <v>-4.4025705953041907</v>
      </c>
      <c r="H49" s="23">
        <f t="shared" si="34"/>
        <v>-0.52107197352124035</v>
      </c>
      <c r="I49" s="23">
        <f t="shared" si="34"/>
        <v>-6.3001195018019276</v>
      </c>
      <c r="J49" s="23">
        <f t="shared" si="34"/>
        <v>-4.3389052077529726</v>
      </c>
      <c r="K49" s="23">
        <f t="shared" si="34"/>
        <v>-1</v>
      </c>
      <c r="L49" s="23">
        <f>L50/J50-1</f>
        <v>5.2519776145392383E-2</v>
      </c>
      <c r="M49" s="23">
        <f>M50/J50-1</f>
        <v>-1.5123146450057752</v>
      </c>
      <c r="N49" s="147">
        <f>N50/J50-1</f>
        <v>-0.80674993456780464</v>
      </c>
      <c r="O49" s="23">
        <f t="shared" si="34"/>
        <v>3.7355309449694563E-2</v>
      </c>
      <c r="P49" s="23">
        <f t="shared" si="34"/>
        <v>0.13318426055935428</v>
      </c>
      <c r="Q49" s="23">
        <f t="shared" si="34"/>
        <v>0.10985819530234942</v>
      </c>
      <c r="R49" s="23">
        <f t="shared" si="34"/>
        <v>0.10021665772039356</v>
      </c>
    </row>
    <row r="50" spans="2:18" x14ac:dyDescent="0.25">
      <c r="B50" s="7" t="s">
        <v>35</v>
      </c>
      <c r="C50" s="28">
        <f t="shared" ref="C50:J50" si="35">+C21+C33+C48</f>
        <v>-49809744</v>
      </c>
      <c r="D50" s="28">
        <f t="shared" si="35"/>
        <v>-7030050</v>
      </c>
      <c r="E50" s="2">
        <f t="shared" si="35"/>
        <v>135486877.76999998</v>
      </c>
      <c r="F50" s="12">
        <f t="shared" si="35"/>
        <v>-34838619.619999617</v>
      </c>
      <c r="G50" s="12">
        <f t="shared" si="35"/>
        <v>118540862.69999838</v>
      </c>
      <c r="H50" s="12">
        <f t="shared" si="35"/>
        <v>56772541.429999828</v>
      </c>
      <c r="I50" s="12">
        <f t="shared" si="35"/>
        <v>-300901254</v>
      </c>
      <c r="J50" s="12">
        <f t="shared" si="35"/>
        <v>1004680764</v>
      </c>
      <c r="L50" s="35">
        <f>+L21+L33+L48</f>
        <v>1057446372.8228618</v>
      </c>
      <c r="M50" s="35">
        <f>+M21+M33+M48</f>
        <v>-514712668.95279104</v>
      </c>
      <c r="N50" s="152">
        <f>+N21+N33+N48</f>
        <v>194154623.38146797</v>
      </c>
      <c r="O50" s="12">
        <f t="shared" ref="O50:R50" si="36">+O21+O33+O48</f>
        <v>201407329.4189716</v>
      </c>
      <c r="P50" s="12">
        <f t="shared" si="36"/>
        <v>228231615.65887162</v>
      </c>
      <c r="Q50" s="12">
        <f t="shared" si="36"/>
        <v>253304729.06609467</v>
      </c>
      <c r="R50" s="12">
        <f t="shared" si="36"/>
        <v>278690082.39786851</v>
      </c>
    </row>
    <row r="51" spans="2:18" x14ac:dyDescent="0.25">
      <c r="B51" s="7" t="s">
        <v>423</v>
      </c>
      <c r="E51" s="23">
        <f>E50/E21</f>
        <v>7.8749936108290092E-2</v>
      </c>
      <c r="F51" s="23">
        <f t="shared" ref="F51:R51" si="37">F50/F21</f>
        <v>-1.5704076774274274E-2</v>
      </c>
      <c r="G51" s="23">
        <f t="shared" si="37"/>
        <v>3.7920240509135908E-2</v>
      </c>
      <c r="H51" s="23">
        <f t="shared" si="37"/>
        <v>1.7711820014523382E-2</v>
      </c>
      <c r="I51" s="23">
        <f t="shared" si="37"/>
        <v>-8.2906921631211869E-2</v>
      </c>
      <c r="J51" s="23">
        <f t="shared" si="37"/>
        <v>0.27200471442713281</v>
      </c>
      <c r="K51" s="23" t="e">
        <f t="shared" si="37"/>
        <v>#DIV/0!</v>
      </c>
      <c r="L51" s="23">
        <f t="shared" si="37"/>
        <v>0.27550400609062503</v>
      </c>
      <c r="M51" s="23">
        <f t="shared" si="37"/>
        <v>-0.19828118389698005</v>
      </c>
      <c r="N51" s="147">
        <f t="shared" si="37"/>
        <v>5.7600189028412956E-2</v>
      </c>
      <c r="O51" s="23">
        <f t="shared" si="37"/>
        <v>5.6982218102174784E-2</v>
      </c>
      <c r="P51" s="23">
        <f t="shared" si="37"/>
        <v>6.1442225659437341E-2</v>
      </c>
      <c r="Q51" s="23">
        <f t="shared" si="37"/>
        <v>6.4963663138373956E-2</v>
      </c>
      <c r="R51" s="23">
        <f t="shared" si="37"/>
        <v>6.8117523794537199E-2</v>
      </c>
    </row>
    <row r="52" spans="2:18" x14ac:dyDescent="0.25">
      <c r="F52" s="10"/>
      <c r="G52" s="10"/>
      <c r="H52" s="10"/>
      <c r="I52" s="10"/>
    </row>
  </sheetData>
  <sortState xmlns:xlrd2="http://schemas.microsoft.com/office/spreadsheetml/2017/richdata2" ref="B14:D39">
    <sortCondition ref="B14:B33"/>
  </sortState>
  <conditionalFormatting sqref="N13:N22 N1:N2 N5:N6 N24:N34 N36:N1048576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{C60ABDA6-F5B1-4A30-817C-D7134C394237}</x14:id>
        </ext>
      </extLst>
    </cfRule>
  </conditionalFormatting>
  <conditionalFormatting sqref="F12:J12 L12:R12">
    <cfRule type="colorScale" priority="3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24:J34 J1:J2 J36:J1048576 J12:J22 J5:J6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{08C67664-0C2A-4C00-8A21-FE165B6D1B42}</x14:id>
        </ext>
      </extLst>
    </cfRule>
  </conditionalFormatting>
  <conditionalFormatting sqref="F23:J23 L23:R23">
    <cfRule type="colorScale" priority="3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23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{196DB0F6-FDB9-4819-B380-FA0BB3CA950E}</x14:id>
        </ext>
      </extLst>
    </cfRule>
  </conditionalFormatting>
  <conditionalFormatting sqref="F35:J35 L35:R35">
    <cfRule type="colorScale" priority="3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35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{203575F2-DEC1-4FFE-91B6-5C2857932121}</x14:id>
        </ext>
      </extLst>
    </cfRule>
  </conditionalFormatting>
  <conditionalFormatting sqref="J12:J1048576 J1:J2 J5:J6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{088447CB-F1FE-4595-8CB8-870C573A3777}</x14:id>
        </ext>
      </extLst>
    </cfRule>
  </conditionalFormatting>
  <conditionalFormatting sqref="K12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2:K1048576 K1:K2 K5:K6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{43DAA6EF-C46F-4AAD-9768-E4AE4A98CED5}</x14:id>
        </ext>
      </extLst>
    </cfRule>
  </conditionalFormatting>
  <conditionalFormatting sqref="J3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{9CB98789-D33A-48E9-8311-8EE7BBD0833F}</x14:id>
        </ext>
      </extLst>
    </cfRule>
  </conditionalFormatting>
  <conditionalFormatting sqref="J3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{D43A68A1-2640-4297-8C1F-BB34DB842027}</x14:id>
        </ext>
      </extLst>
    </cfRule>
  </conditionalFormatting>
  <conditionalFormatting sqref="K3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{0F0D2E36-05C1-485D-92EC-D34778BA54F7}</x14:id>
        </ext>
      </extLst>
    </cfRule>
  </conditionalFormatting>
  <conditionalFormatting sqref="N4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{D0EA0898-5409-48A1-B195-6BBD6B476AA2}</x14:id>
        </ext>
      </extLst>
    </cfRule>
  </conditionalFormatting>
  <conditionalFormatting sqref="J4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{B6740E24-72E6-4564-9B91-C94E120B556A}</x14:id>
        </ext>
      </extLst>
    </cfRule>
  </conditionalFormatting>
  <conditionalFormatting sqref="J4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{721346B4-DDD8-4BB4-904B-8F633E3B2E0D}</x14:id>
        </ext>
      </extLst>
    </cfRule>
  </conditionalFormatting>
  <conditionalFormatting sqref="K4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{8EE3561A-BBE0-4AC7-8451-D15B6E8216D9}</x14:id>
        </ext>
      </extLst>
    </cfRule>
  </conditionalFormatting>
  <conditionalFormatting sqref="F49:R4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51:R5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U2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{69631FD4-9833-459E-B0FF-34E033A60C9E}</x14:id>
        </ext>
      </extLst>
    </cfRule>
  </conditionalFormatting>
  <conditionalFormatting sqref="I5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{D5FB66C4-FBA1-44E1-86EE-307C39A7EA14}</x14:id>
        </ext>
      </extLst>
    </cfRule>
  </conditionalFormatting>
  <conditionalFormatting sqref="I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{1A8AFD14-9DB5-46BC-A1AB-8897B9ACE33E}</x14:id>
        </ext>
      </extLst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15</xdr:col>
                    <xdr:colOff>9525</xdr:colOff>
                    <xdr:row>13</xdr:row>
                    <xdr:rowOff>0</xdr:rowOff>
                  </from>
                  <to>
                    <xdr:col>16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16</xdr:col>
                    <xdr:colOff>19050</xdr:colOff>
                    <xdr:row>13</xdr:row>
                    <xdr:rowOff>0</xdr:rowOff>
                  </from>
                  <to>
                    <xdr:col>17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17</xdr:col>
                    <xdr:colOff>19050</xdr:colOff>
                    <xdr:row>13</xdr:row>
                    <xdr:rowOff>0</xdr:rowOff>
                  </from>
                  <to>
                    <xdr:col>18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0</xdr:rowOff>
                  </from>
                  <to>
                    <xdr:col>15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Drop Down 72">
              <controlPr defaultSize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" name="Drop Down 76">
              <controlPr defaultSize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Drop Down 77">
              <controlPr defaultSize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0ABDA6-F5B1-4A30-817C-D7134C3942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N13:N22 N1:N2 N5:N6 N24:N34 N36:N1048576</xm:sqref>
        </x14:conditionalFormatting>
        <x14:conditionalFormatting xmlns:xm="http://schemas.microsoft.com/office/excel/2006/main">
          <x14:cfRule type="dataBar" id="{08C67664-0C2A-4C00-8A21-FE165B6D1B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J24:J34 J1:J2 J36:J1048576 J12:J22 J5:J6</xm:sqref>
        </x14:conditionalFormatting>
        <x14:conditionalFormatting xmlns:xm="http://schemas.microsoft.com/office/excel/2006/main">
          <x14:cfRule type="dataBar" id="{196DB0F6-FDB9-4819-B380-FA0BB3CA95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J23</xm:sqref>
        </x14:conditionalFormatting>
        <x14:conditionalFormatting xmlns:xm="http://schemas.microsoft.com/office/excel/2006/main">
          <x14:cfRule type="dataBar" id="{203575F2-DEC1-4FFE-91B6-5C28579321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088447CB-F1FE-4595-8CB8-870C573A37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J12:J1048576 J1:J2 J5:J6</xm:sqref>
        </x14:conditionalFormatting>
        <x14:conditionalFormatting xmlns:xm="http://schemas.microsoft.com/office/excel/2006/main">
          <x14:cfRule type="dataBar" id="{43DAA6EF-C46F-4AAD-9768-E4AE4A98CE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K12:K1048576 K1:K2 K5:K6</xm:sqref>
        </x14:conditionalFormatting>
        <x14:conditionalFormatting xmlns:xm="http://schemas.microsoft.com/office/excel/2006/main">
          <x14:cfRule type="dataBar" id="{9CB98789-D33A-48E9-8311-8EE7BBD083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</xm:sqref>
        </x14:conditionalFormatting>
        <x14:conditionalFormatting xmlns:xm="http://schemas.microsoft.com/office/excel/2006/main">
          <x14:cfRule type="dataBar" id="{D43A68A1-2640-4297-8C1F-BB34DB8420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</xm:sqref>
        </x14:conditionalFormatting>
        <x14:conditionalFormatting xmlns:xm="http://schemas.microsoft.com/office/excel/2006/main">
          <x14:cfRule type="dataBar" id="{0F0D2E36-05C1-485D-92EC-D34778BA54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K3</xm:sqref>
        </x14:conditionalFormatting>
        <x14:conditionalFormatting xmlns:xm="http://schemas.microsoft.com/office/excel/2006/main">
          <x14:cfRule type="dataBar" id="{D0EA0898-5409-48A1-B195-6BBD6B476A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N4</xm:sqref>
        </x14:conditionalFormatting>
        <x14:conditionalFormatting xmlns:xm="http://schemas.microsoft.com/office/excel/2006/main">
          <x14:cfRule type="dataBar" id="{B6740E24-72E6-4564-9B91-C94E120B55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721346B4-DDD8-4BB4-904B-8F633E3B2E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8EE3561A-BBE0-4AC7-8451-D15B6E8216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K4</xm:sqref>
        </x14:conditionalFormatting>
        <x14:conditionalFormatting xmlns:xm="http://schemas.microsoft.com/office/excel/2006/main">
          <x14:cfRule type="dataBar" id="{69631FD4-9833-459E-B0FF-34E033A60C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</xm:sqref>
        </x14:conditionalFormatting>
        <x14:conditionalFormatting xmlns:xm="http://schemas.microsoft.com/office/excel/2006/main">
          <x14:cfRule type="dataBar" id="{D5FB66C4-FBA1-44E1-86EE-307C39A7EA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I5</xm:sqref>
        </x14:conditionalFormatting>
        <x14:conditionalFormatting xmlns:xm="http://schemas.microsoft.com/office/excel/2006/main">
          <x14:cfRule type="dataBar" id="{1A8AFD14-9DB5-46BC-A1AB-8897B9ACE3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D793-B00C-4594-BC30-F37B12D52ADB}">
  <sheetPr codeName="Hoja3"/>
  <dimension ref="B1:AK54"/>
  <sheetViews>
    <sheetView showGridLines="0" zoomScale="90" zoomScaleNormal="90" workbookViewId="0">
      <pane xSplit="2" ySplit="13" topLeftCell="I14" activePane="bottomRight" state="frozen"/>
      <selection pane="topRight" activeCell="B1" sqref="B1"/>
      <selection pane="bottomLeft" activeCell="A6" sqref="A6"/>
      <selection pane="bottomRight" activeCell="AF50" sqref="AF50"/>
    </sheetView>
  </sheetViews>
  <sheetFormatPr baseColWidth="10" defaultRowHeight="15" outlineLevelRow="1" outlineLevelCol="1" x14ac:dyDescent="0.25"/>
  <cols>
    <col min="1" max="1" width="2.42578125" customWidth="1"/>
    <col min="2" max="2" width="37.140625" customWidth="1"/>
    <col min="3" max="3" width="12.28515625" style="28" hidden="1" customWidth="1"/>
    <col min="4" max="4" width="7.42578125" style="28" hidden="1" customWidth="1"/>
    <col min="5" max="5" width="18.28515625" style="2" customWidth="1" outlineLevel="1"/>
    <col min="6" max="7" width="16.7109375" style="2" customWidth="1" outlineLevel="1"/>
    <col min="8" max="8" width="16" style="2" customWidth="1" outlineLevel="1"/>
    <col min="9" max="9" width="17.42578125" style="2" customWidth="1" outlineLevel="1"/>
    <col min="10" max="10" width="15.5703125" bestFit="1" customWidth="1"/>
    <col min="11" max="11" width="7.42578125" bestFit="1" customWidth="1"/>
    <col min="12" max="12" width="15.5703125" style="35" hidden="1" customWidth="1" outlineLevel="1"/>
    <col min="13" max="13" width="15.85546875" hidden="1" customWidth="1" outlineLevel="1"/>
    <col min="14" max="14" width="15.85546875" style="141" bestFit="1" customWidth="1" collapsed="1"/>
    <col min="15" max="17" width="16.42578125" bestFit="1" customWidth="1"/>
    <col min="18" max="18" width="16.42578125" customWidth="1"/>
    <col min="19" max="19" width="9.7109375" hidden="1" customWidth="1"/>
    <col min="20" max="21" width="12.5703125" hidden="1" customWidth="1"/>
    <col min="22" max="25" width="11.42578125" hidden="1" customWidth="1"/>
    <col min="26" max="27" width="15.7109375" hidden="1" customWidth="1"/>
    <col min="28" max="28" width="0.140625" hidden="1" customWidth="1"/>
    <col min="29" max="29" width="1.7109375" hidden="1" customWidth="1"/>
    <col min="30" max="30" width="1.28515625" customWidth="1"/>
    <col min="31" max="33" width="13.7109375" bestFit="1" customWidth="1"/>
    <col min="34" max="37" width="10.42578125" bestFit="1" customWidth="1"/>
  </cols>
  <sheetData>
    <row r="1" spans="2:24" ht="9" customHeight="1" x14ac:dyDescent="0.25">
      <c r="N1" s="140"/>
    </row>
    <row r="2" spans="2:24" x14ac:dyDescent="0.25">
      <c r="E2" s="7"/>
      <c r="J2" s="35"/>
    </row>
    <row r="3" spans="2:24" ht="11.25" customHeight="1" x14ac:dyDescent="0.25">
      <c r="E3"/>
    </row>
    <row r="4" spans="2:24" x14ac:dyDescent="0.25">
      <c r="E4" s="37"/>
      <c r="F4" s="37"/>
      <c r="G4" s="37"/>
      <c r="H4" s="37"/>
      <c r="I4" s="157" t="s">
        <v>243</v>
      </c>
      <c r="J4" s="96"/>
      <c r="K4" s="38"/>
      <c r="L4" s="84"/>
      <c r="M4" s="85"/>
      <c r="N4" s="143"/>
      <c r="O4" s="88"/>
      <c r="P4" s="88"/>
      <c r="Q4" s="88"/>
      <c r="R4" s="88"/>
    </row>
    <row r="5" spans="2:24" hidden="1" outlineLevel="1" x14ac:dyDescent="0.25">
      <c r="E5" s="13" t="s">
        <v>2</v>
      </c>
      <c r="F5" s="15" t="s">
        <v>21</v>
      </c>
      <c r="G5" s="15" t="s">
        <v>1</v>
      </c>
      <c r="H5" s="15" t="s">
        <v>22</v>
      </c>
      <c r="I5" s="15" t="s">
        <v>23</v>
      </c>
      <c r="J5" s="13" t="s">
        <v>66</v>
      </c>
      <c r="K5" s="13"/>
      <c r="L5" s="36" t="s">
        <v>67</v>
      </c>
      <c r="M5" s="13" t="s">
        <v>67</v>
      </c>
      <c r="N5" s="144" t="s">
        <v>67</v>
      </c>
      <c r="O5" s="13" t="s">
        <v>68</v>
      </c>
      <c r="P5" s="13" t="s">
        <v>69</v>
      </c>
      <c r="Q5" s="13" t="s">
        <v>70</v>
      </c>
      <c r="R5" s="13" t="s">
        <v>71</v>
      </c>
      <c r="T5">
        <v>2</v>
      </c>
      <c r="U5">
        <v>2</v>
      </c>
      <c r="V5">
        <v>2</v>
      </c>
      <c r="W5">
        <v>1</v>
      </c>
      <c r="X5">
        <v>1</v>
      </c>
    </row>
    <row r="6" spans="2:24" hidden="1" outlineLevel="1" x14ac:dyDescent="0.25">
      <c r="B6" s="7" t="s">
        <v>227</v>
      </c>
      <c r="E6" s="13"/>
      <c r="F6" s="87">
        <f t="shared" ref="F6:I6" si="0">F12</f>
        <v>0.28944108704246085</v>
      </c>
      <c r="G6" s="87">
        <f t="shared" si="0"/>
        <v>0.40912159683353089</v>
      </c>
      <c r="H6" s="87">
        <f t="shared" si="0"/>
        <v>2.5364188194585191E-2</v>
      </c>
      <c r="I6" s="87">
        <f t="shared" si="0"/>
        <v>0.13229101773862229</v>
      </c>
      <c r="J6" s="87">
        <f>J12</f>
        <v>1.7696891674197746E-2</v>
      </c>
      <c r="K6" s="13"/>
      <c r="L6" s="86">
        <f>L14</f>
        <v>3.9151282051282051E-2</v>
      </c>
      <c r="M6" s="86">
        <f t="shared" ref="M6:R6" si="1">M14</f>
        <v>3.9151282051282051E-2</v>
      </c>
      <c r="N6" s="145">
        <f t="shared" si="1"/>
        <v>3.9151282051282051E-2</v>
      </c>
      <c r="O6" s="86">
        <f t="shared" si="1"/>
        <v>4.8605405405405429E-2</v>
      </c>
      <c r="P6" s="86">
        <f t="shared" si="1"/>
        <v>5.0927956989247319E-2</v>
      </c>
      <c r="Q6" s="86">
        <f t="shared" si="1"/>
        <v>7.969692888918696E-2</v>
      </c>
      <c r="R6" s="86">
        <f t="shared" si="1"/>
        <v>7.9276314667024353E-2</v>
      </c>
    </row>
    <row r="7" spans="2:24" hidden="1" outlineLevel="1" x14ac:dyDescent="0.25">
      <c r="B7" s="7" t="s">
        <v>228</v>
      </c>
      <c r="F7" s="33">
        <v>6.7699999999999996E-2</v>
      </c>
      <c r="G7" s="33">
        <v>5.7500000000000002E-2</v>
      </c>
      <c r="H7" s="33">
        <v>4.0899999999999999E-2</v>
      </c>
      <c r="I7" s="33">
        <v>3.1800000000000002E-2</v>
      </c>
      <c r="J7" s="33">
        <v>3.7999999999999999E-2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</row>
    <row r="8" spans="2:24" hidden="1" outlineLevel="1" x14ac:dyDescent="0.25">
      <c r="B8" s="7" t="s">
        <v>229</v>
      </c>
      <c r="L8" s="33">
        <v>1.915128205128205E-2</v>
      </c>
      <c r="M8" s="33">
        <v>1.915128205128205E-2</v>
      </c>
      <c r="N8" s="146">
        <v>1.915128205128205E-2</v>
      </c>
      <c r="O8" s="33">
        <v>2.8605405405405428E-2</v>
      </c>
      <c r="P8" s="33">
        <v>3.0927956989247316E-2</v>
      </c>
      <c r="Q8" s="39">
        <f>AVERAGE(I7:J7,N8:P8)</f>
        <v>2.9696928889186958E-2</v>
      </c>
      <c r="R8" s="39">
        <f>AVERAGE(J7,N8:Q8)</f>
        <v>2.927631466702435E-2</v>
      </c>
      <c r="T8" t="s">
        <v>76</v>
      </c>
      <c r="U8" t="s">
        <v>76</v>
      </c>
      <c r="V8" t="s">
        <v>76</v>
      </c>
      <c r="W8" t="s">
        <v>76</v>
      </c>
      <c r="X8" t="s">
        <v>76</v>
      </c>
    </row>
    <row r="9" spans="2:24" hidden="1" outlineLevel="1" x14ac:dyDescent="0.25">
      <c r="B9" s="7" t="s">
        <v>231</v>
      </c>
      <c r="L9" s="33">
        <f>L8+2%</f>
        <v>3.9151282051282051E-2</v>
      </c>
      <c r="M9" s="33">
        <f t="shared" ref="M9:N9" si="2">M8+2%</f>
        <v>3.9151282051282051E-2</v>
      </c>
      <c r="N9" s="146">
        <f t="shared" si="2"/>
        <v>3.9151282051282051E-2</v>
      </c>
      <c r="O9" s="33">
        <v>5.5E-2</v>
      </c>
      <c r="P9" s="33">
        <v>0.05</v>
      </c>
      <c r="Q9" s="33">
        <v>0.05</v>
      </c>
      <c r="R9" s="33">
        <v>0.05</v>
      </c>
      <c r="T9" t="s">
        <v>77</v>
      </c>
      <c r="U9" t="s">
        <v>77</v>
      </c>
      <c r="V9" t="s">
        <v>77</v>
      </c>
      <c r="W9" t="s">
        <v>77</v>
      </c>
      <c r="X9" t="s">
        <v>77</v>
      </c>
    </row>
    <row r="10" spans="2:24" hidden="1" outlineLevel="1" x14ac:dyDescent="0.25">
      <c r="B10" s="7" t="s">
        <v>230</v>
      </c>
      <c r="F10" s="33">
        <v>4.4999999999999998E-2</v>
      </c>
      <c r="G10" s="33">
        <v>0.08</v>
      </c>
      <c r="H10" s="33">
        <v>0.125</v>
      </c>
      <c r="I10" s="33">
        <v>0.25</v>
      </c>
      <c r="J10" s="33">
        <v>0.5</v>
      </c>
      <c r="N10" s="146"/>
      <c r="O10" s="33"/>
      <c r="P10" s="33"/>
    </row>
    <row r="11" spans="2:24" ht="12" customHeight="1" collapsed="1" x14ac:dyDescent="0.25"/>
    <row r="12" spans="2:24" x14ac:dyDescent="0.25">
      <c r="F12" s="23">
        <f>F21/E21-1</f>
        <v>0.28944108704246085</v>
      </c>
      <c r="G12" s="23">
        <f>G21/F21-1</f>
        <v>0.40912159683353089</v>
      </c>
      <c r="H12" s="23">
        <f>H21/G21-1</f>
        <v>2.5364188194585191E-2</v>
      </c>
      <c r="I12" s="23">
        <f>I21/H21-1</f>
        <v>0.13229101773862229</v>
      </c>
      <c r="J12" s="23">
        <f>J21/I21-1</f>
        <v>1.7696891674197746E-2</v>
      </c>
      <c r="L12" s="23">
        <f>L21/J21-1</f>
        <v>3.9151282051282044E-2</v>
      </c>
      <c r="M12" s="23">
        <f>M21/J21-1</f>
        <v>-0.29720008740700155</v>
      </c>
      <c r="N12" s="147">
        <f>N21/J21-1</f>
        <v>-8.7417424359842788E-2</v>
      </c>
      <c r="O12" s="23">
        <f>O21/N21-1</f>
        <v>4.8605405405405477E-2</v>
      </c>
      <c r="P12" s="23">
        <f>P21/O21-1</f>
        <v>5.0927956989247125E-2</v>
      </c>
      <c r="Q12" s="23">
        <f>Q21/P21-1</f>
        <v>7.9696928889187113E-2</v>
      </c>
      <c r="R12" s="23">
        <f>R21/Q21-1</f>
        <v>7.9276314667024117E-2</v>
      </c>
    </row>
    <row r="13" spans="2:24" x14ac:dyDescent="0.25">
      <c r="B13" s="7" t="s">
        <v>0</v>
      </c>
      <c r="C13" s="29" t="s">
        <v>64</v>
      </c>
      <c r="D13" s="29" t="s">
        <v>63</v>
      </c>
      <c r="E13" s="37" t="s">
        <v>2</v>
      </c>
      <c r="F13" s="37" t="s">
        <v>21</v>
      </c>
      <c r="G13" s="37" t="s">
        <v>1</v>
      </c>
      <c r="H13" s="37" t="s">
        <v>22</v>
      </c>
      <c r="I13" s="37" t="s">
        <v>23</v>
      </c>
      <c r="J13" s="37" t="s">
        <v>66</v>
      </c>
      <c r="K13" s="38" t="s">
        <v>59</v>
      </c>
      <c r="L13" s="84" t="s">
        <v>67</v>
      </c>
      <c r="M13" s="85" t="s">
        <v>67</v>
      </c>
      <c r="N13" s="143" t="s">
        <v>67</v>
      </c>
      <c r="O13" s="88" t="s">
        <v>68</v>
      </c>
      <c r="P13" s="88" t="s">
        <v>69</v>
      </c>
      <c r="Q13" s="88" t="s">
        <v>70</v>
      </c>
      <c r="R13" s="88" t="s">
        <v>71</v>
      </c>
    </row>
    <row r="14" spans="2:24" x14ac:dyDescent="0.25">
      <c r="B14" s="7" t="s">
        <v>30</v>
      </c>
      <c r="C14" s="30"/>
      <c r="D14" s="30"/>
      <c r="E14" s="4"/>
      <c r="F14" s="4"/>
      <c r="G14" s="4"/>
      <c r="H14" s="4"/>
      <c r="I14" s="4"/>
      <c r="J14" s="12"/>
      <c r="L14" s="33">
        <f>IF(T5=1,L8+5%,IF(T5=2,(L8+2%),(L8-1%)))</f>
        <v>3.9151282051282051E-2</v>
      </c>
      <c r="M14" s="33">
        <f>IF(T5=1,M8+5%,IF(T5=2,(M8+2%),(M8-1%)))</f>
        <v>3.9151282051282051E-2</v>
      </c>
      <c r="N14" s="146">
        <f>IF(T5=1,N8+5%,IF(T5=2,(N8+2%),(N8-1%)))</f>
        <v>3.9151282051282051E-2</v>
      </c>
      <c r="O14" s="33">
        <f>IF(U5=1,O8+5%,IF(U5=2,(O8+2%),(O8-1%)))</f>
        <v>4.8605405405405429E-2</v>
      </c>
      <c r="P14" s="33">
        <f>IF(V5=1,P8+5%,IF(V5=2,(P8+2%),(P8-1%)))</f>
        <v>5.0927956989247319E-2</v>
      </c>
      <c r="Q14" s="33">
        <f>IF(W5=1,Q8+5%,IF(W5=2,(Q8+2%),(Q8-1%)))</f>
        <v>7.969692888918696E-2</v>
      </c>
      <c r="R14" s="33">
        <f>IF(X5=1,R8+5%,IF(X5=2,(R8+2%),(R8-1%)))</f>
        <v>7.9276314667024353E-2</v>
      </c>
    </row>
    <row r="15" spans="2:24" hidden="1" outlineLevel="1" x14ac:dyDescent="0.25">
      <c r="B15" s="1" t="s">
        <v>20</v>
      </c>
      <c r="C15" s="31"/>
      <c r="D15" s="31"/>
      <c r="E15" s="2">
        <v>2005350575.23</v>
      </c>
      <c r="F15" s="2">
        <v>-263981965</v>
      </c>
      <c r="G15" s="2">
        <v>1898441929</v>
      </c>
      <c r="H15" s="2">
        <v>2438675142</v>
      </c>
      <c r="I15" s="2">
        <v>3348330513</v>
      </c>
      <c r="J15" s="25">
        <v>3624850097</v>
      </c>
      <c r="K15" s="33">
        <f>+J15/$J$21</f>
        <v>0.98138269468813055</v>
      </c>
      <c r="L15" s="35">
        <f t="shared" ref="L15:L20" si="3">J15*(1+$L$14)</f>
        <v>3766767625.5412641</v>
      </c>
      <c r="M15" s="34">
        <f>AVERAGE(E15:J15)*(1+$M$14)</f>
        <v>2260442626.5728593</v>
      </c>
      <c r="N15" s="148">
        <f t="shared" ref="N15:N19" si="4">((F15*(1+$F$7))*$F$10)+((G15*(1+$G$7))*$G$10)+ ((H15*(1+$H$7))*$H$10)+((I15*(1+$I$7))*$I$10)+((J15*(1+$N$14))*$J$10)</f>
        <v>3212312565.7244844</v>
      </c>
      <c r="O15" s="160">
        <f>N15*(1+$O$14)</f>
        <v>3368448320.270401</v>
      </c>
      <c r="P15" s="160">
        <f>O15*(1+$P$14)</f>
        <v>3539996511.4456344</v>
      </c>
      <c r="Q15" s="160">
        <f>P15*(1+$Q$14)</f>
        <v>3822123361.6862869</v>
      </c>
      <c r="R15" s="160">
        <f>Q15*(1+$R$14)</f>
        <v>4125127216.0035138</v>
      </c>
    </row>
    <row r="16" spans="2:24" hidden="1" outlineLevel="1" x14ac:dyDescent="0.25">
      <c r="B16" s="1" t="s">
        <v>60</v>
      </c>
      <c r="C16" s="31">
        <v>74500</v>
      </c>
      <c r="D16" s="31"/>
      <c r="E16" s="2">
        <v>94668566</v>
      </c>
      <c r="F16" s="2">
        <v>55014886</v>
      </c>
      <c r="G16" s="2">
        <v>66388676</v>
      </c>
      <c r="H16" s="2">
        <v>9926485</v>
      </c>
      <c r="I16" s="2">
        <v>52446894</v>
      </c>
      <c r="J16" s="25">
        <v>28396998</v>
      </c>
      <c r="K16" s="33">
        <f t="shared" ref="K16:K21" si="5">+J16/$J$21</f>
        <v>7.6881310047435744E-3</v>
      </c>
      <c r="L16" s="35">
        <f t="shared" si="3"/>
        <v>29508776.878107693</v>
      </c>
      <c r="M16" s="34">
        <f>AVERAGE(F16:J16)*(1+$M$14)</f>
        <v>44096164.145944096</v>
      </c>
      <c r="N16" s="148">
        <f t="shared" si="4"/>
        <v>37834379.235715352</v>
      </c>
      <c r="O16" s="160">
        <f>N16*(1+$O$14)</f>
        <v>39673334.576729149</v>
      </c>
      <c r="P16" s="160">
        <f>O16*(1+$P$14)</f>
        <v>41693816.453672834</v>
      </c>
      <c r="Q16" s="160">
        <f>P16*(1+$Q$14)</f>
        <v>45016685.578700006</v>
      </c>
      <c r="R16" s="160">
        <f>Q16*(1+$R$14)</f>
        <v>48585442.509903528</v>
      </c>
    </row>
    <row r="17" spans="2:37" hidden="1" outlineLevel="1" x14ac:dyDescent="0.25">
      <c r="B17" s="1" t="s">
        <v>27</v>
      </c>
      <c r="C17" s="31"/>
      <c r="D17" s="31"/>
      <c r="E17" s="2">
        <v>0</v>
      </c>
      <c r="F17" s="2">
        <v>0</v>
      </c>
      <c r="G17" s="2">
        <v>0</v>
      </c>
      <c r="H17" s="2">
        <v>0</v>
      </c>
      <c r="I17" s="2">
        <v>60000000</v>
      </c>
      <c r="J17" s="25">
        <v>0</v>
      </c>
      <c r="K17" s="33">
        <f t="shared" si="5"/>
        <v>0</v>
      </c>
      <c r="L17" s="35">
        <f t="shared" si="3"/>
        <v>0</v>
      </c>
      <c r="M17" s="34">
        <f>AVERAGE(F17:J17)*(1+$M$14)</f>
        <v>12469815.384615384</v>
      </c>
      <c r="N17" s="148">
        <f t="shared" si="4"/>
        <v>15477000</v>
      </c>
      <c r="O17" s="160">
        <f t="shared" ref="O17:O20" si="6">N17*(1+$O$14)</f>
        <v>16229265.85945946</v>
      </c>
      <c r="P17" s="160">
        <f t="shared" ref="P17:P20" si="7">O17*(1+$P$14)</f>
        <v>17055789.21311707</v>
      </c>
      <c r="Q17" s="160">
        <f t="shared" ref="Q17:Q20" si="8">P17*(1+$Q$14)</f>
        <v>18415083.233183824</v>
      </c>
      <c r="R17" s="160">
        <f t="shared" ref="R17:R20" si="9">Q17*(1+$R$14)</f>
        <v>19874963.166197147</v>
      </c>
    </row>
    <row r="18" spans="2:37" hidden="1" outlineLevel="1" x14ac:dyDescent="0.25">
      <c r="B18" s="1" t="s">
        <v>16</v>
      </c>
      <c r="C18" s="31"/>
      <c r="D18" s="31"/>
      <c r="E18" s="2">
        <v>45006588.640000001</v>
      </c>
      <c r="F18" s="2">
        <v>117731990.03999999</v>
      </c>
      <c r="G18" s="2">
        <v>202555856.52000001</v>
      </c>
      <c r="H18" s="2">
        <v>78762085.430000007</v>
      </c>
      <c r="I18" s="2">
        <v>13422216</v>
      </c>
      <c r="J18" s="25"/>
      <c r="K18" s="33">
        <f t="shared" si="5"/>
        <v>0</v>
      </c>
      <c r="L18" s="35">
        <f t="shared" si="3"/>
        <v>0</v>
      </c>
      <c r="M18" s="34">
        <f>AVERAGE(F18:J18)*(1+$M$14)</f>
        <v>107155240.34856366</v>
      </c>
      <c r="N18" s="148">
        <f t="shared" si="4"/>
        <v>36503027.978759736</v>
      </c>
      <c r="O18" s="160">
        <f t="shared" si="6"/>
        <v>38277272.45219221</v>
      </c>
      <c r="P18" s="160">
        <f t="shared" si="7"/>
        <v>40226655.73730316</v>
      </c>
      <c r="Q18" s="160">
        <f t="shared" si="8"/>
        <v>43432596.659048811</v>
      </c>
      <c r="R18" s="160">
        <f t="shared" si="9"/>
        <v>46875772.858597517</v>
      </c>
    </row>
    <row r="19" spans="2:37" hidden="1" outlineLevel="1" x14ac:dyDescent="0.25">
      <c r="B19" s="1" t="s">
        <v>19</v>
      </c>
      <c r="C19" s="31"/>
      <c r="D19" s="31"/>
      <c r="E19" s="2">
        <v>-34670770</v>
      </c>
      <c r="F19" s="2">
        <v>680482957</v>
      </c>
      <c r="G19" s="2">
        <v>-26939000</v>
      </c>
      <c r="H19" s="2">
        <v>132284402</v>
      </c>
      <c r="I19" s="2">
        <v>0</v>
      </c>
      <c r="J19" s="25">
        <v>40368165</v>
      </c>
      <c r="K19" s="33">
        <f>+J19/$J$21</f>
        <v>1.0929174307125859E-2</v>
      </c>
      <c r="L19" s="35">
        <f t="shared" si="3"/>
        <v>41948630.41380769</v>
      </c>
      <c r="M19" s="34">
        <f>AVERAGE(F19:J19)*(1+$M$14)</f>
        <v>171708635.42818257</v>
      </c>
      <c r="N19" s="148">
        <f t="shared" si="4"/>
        <v>68601954.455629349</v>
      </c>
      <c r="O19" s="160">
        <f t="shared" si="6"/>
        <v>71936380.263548374</v>
      </c>
      <c r="P19" s="160">
        <f t="shared" si="7"/>
        <v>75599953.143572509</v>
      </c>
      <c r="Q19" s="160">
        <f t="shared" si="8"/>
        <v>81625037.233281672</v>
      </c>
      <c r="R19" s="160">
        <f t="shared" si="9"/>
        <v>88095969.369694889</v>
      </c>
    </row>
    <row r="20" spans="2:37" s="137" customFormat="1" hidden="1" outlineLevel="1" x14ac:dyDescent="0.25">
      <c r="B20" s="132" t="s">
        <v>61</v>
      </c>
      <c r="C20" s="32"/>
      <c r="D20" s="32"/>
      <c r="E20" s="133">
        <v>-389885274.87</v>
      </c>
      <c r="F20" s="133">
        <v>1629196432.8100002</v>
      </c>
      <c r="G20" s="133">
        <v>985610314.1799984</v>
      </c>
      <c r="H20" s="133">
        <v>545699579</v>
      </c>
      <c r="I20" s="133">
        <v>155186779</v>
      </c>
      <c r="J20" s="134"/>
      <c r="K20" s="131">
        <f t="shared" si="5"/>
        <v>0</v>
      </c>
      <c r="L20" s="135">
        <f t="shared" si="3"/>
        <v>0</v>
      </c>
      <c r="M20" s="136">
        <f>AVERAGE(E20:J20)*(1+$M$14)</f>
        <v>608071391.54097521</v>
      </c>
      <c r="N20" s="149">
        <f>((F20*(1+$F$7))*$F$10)+((G20*(1+$G$7))*$G$10)+ ((H20*(1+$H$7))*$H$10)+((I20*(1+$I$7))*$I$10)+((J20*(1+$N$14))*$J$10)</f>
        <v>272692585.10432106</v>
      </c>
      <c r="O20" s="161">
        <f t="shared" si="6"/>
        <v>285946918.75436461</v>
      </c>
      <c r="P20" s="161">
        <f t="shared" si="7"/>
        <v>300509611.13389468</v>
      </c>
      <c r="Q20" s="161">
        <f t="shared" si="8"/>
        <v>324459304.2429499</v>
      </c>
      <c r="R20" s="161">
        <f t="shared" si="9"/>
        <v>350181242.14275777</v>
      </c>
      <c r="T20" s="138">
        <v>608071391.54097521</v>
      </c>
      <c r="U20" s="139">
        <v>272692585.10432106</v>
      </c>
    </row>
    <row r="21" spans="2:37" collapsed="1" x14ac:dyDescent="0.25">
      <c r="B21" s="6" t="s">
        <v>31</v>
      </c>
      <c r="C21" s="30">
        <f t="shared" ref="C21:I21" si="10">SUM(C15:C20)</f>
        <v>74500</v>
      </c>
      <c r="D21" s="30">
        <f t="shared" si="10"/>
        <v>0</v>
      </c>
      <c r="E21" s="8">
        <f t="shared" si="10"/>
        <v>1720469685</v>
      </c>
      <c r="F21" s="8">
        <f t="shared" si="10"/>
        <v>2218444300.8500004</v>
      </c>
      <c r="G21" s="8">
        <f t="shared" si="10"/>
        <v>3126057775.6999984</v>
      </c>
      <c r="H21" s="8">
        <f t="shared" si="10"/>
        <v>3205347693.4299998</v>
      </c>
      <c r="I21" s="8">
        <f t="shared" si="10"/>
        <v>3629386402</v>
      </c>
      <c r="J21" s="8">
        <f t="shared" ref="J21" si="11">SUM(J15:J20)</f>
        <v>3693615260</v>
      </c>
      <c r="K21" s="97">
        <f t="shared" si="5"/>
        <v>1</v>
      </c>
      <c r="L21" s="8">
        <f>SUM(L15:L20)</f>
        <v>3838225032.8331795</v>
      </c>
      <c r="M21" s="8">
        <f>SUM(M15:M20)-T20</f>
        <v>2595872481.8801651</v>
      </c>
      <c r="N21" s="150">
        <f>SUM(N15:N20)-U20</f>
        <v>3370728927.3945889</v>
      </c>
      <c r="O21" s="162">
        <f>SUM(O15:O20)-O20</f>
        <v>3534564573.4223304</v>
      </c>
      <c r="P21" s="162">
        <f t="shared" ref="P21:R21" si="12">SUM(P15:P20)-P20</f>
        <v>3714572725.9932995</v>
      </c>
      <c r="Q21" s="162">
        <f t="shared" si="12"/>
        <v>4010612764.3905015</v>
      </c>
      <c r="R21" s="162">
        <f t="shared" si="12"/>
        <v>4328559363.9079065</v>
      </c>
    </row>
    <row r="22" spans="2:37" ht="11.25" customHeight="1" x14ac:dyDescent="0.25">
      <c r="B22" s="1"/>
      <c r="C22" s="31"/>
      <c r="D22" s="31"/>
      <c r="J22" s="12"/>
      <c r="K22" s="39"/>
      <c r="M22" s="34"/>
      <c r="N22" s="148"/>
    </row>
    <row r="23" spans="2:37" x14ac:dyDescent="0.25">
      <c r="B23" s="22" t="s">
        <v>32</v>
      </c>
      <c r="C23" s="32"/>
      <c r="D23" s="32"/>
      <c r="J23" s="158"/>
      <c r="K23" s="39"/>
      <c r="M23" s="34"/>
      <c r="N23" s="148"/>
      <c r="S23" t="s">
        <v>237</v>
      </c>
      <c r="T23" t="s">
        <v>238</v>
      </c>
      <c r="U23" t="s">
        <v>239</v>
      </c>
      <c r="V23">
        <v>2021</v>
      </c>
      <c r="W23">
        <v>2022</v>
      </c>
      <c r="X23">
        <v>2023</v>
      </c>
      <c r="Y23">
        <v>2024</v>
      </c>
      <c r="Z23">
        <v>2021</v>
      </c>
      <c r="AA23">
        <v>2022</v>
      </c>
      <c r="AB23">
        <v>2023</v>
      </c>
      <c r="AC23">
        <v>2024</v>
      </c>
      <c r="AE23" s="84" t="s">
        <v>246</v>
      </c>
      <c r="AF23" s="85" t="s">
        <v>247</v>
      </c>
      <c r="AG23" s="85" t="s">
        <v>248</v>
      </c>
      <c r="AH23" s="88" t="s">
        <v>68</v>
      </c>
      <c r="AI23" s="88" t="s">
        <v>69</v>
      </c>
      <c r="AJ23" s="88" t="s">
        <v>70</v>
      </c>
      <c r="AK23" s="88" t="s">
        <v>71</v>
      </c>
    </row>
    <row r="24" spans="2:37" outlineLevel="1" x14ac:dyDescent="0.25">
      <c r="B24" s="14" t="s">
        <v>41</v>
      </c>
      <c r="C24" s="31"/>
      <c r="D24" s="31"/>
      <c r="E24" s="2">
        <v>0</v>
      </c>
      <c r="F24" s="2">
        <v>-13570000</v>
      </c>
      <c r="G24" s="2">
        <v>0</v>
      </c>
      <c r="H24" s="2">
        <v>-37279575</v>
      </c>
      <c r="I24" s="2">
        <v>-33373550</v>
      </c>
      <c r="J24" s="25">
        <v>-2600000</v>
      </c>
      <c r="K24" s="33">
        <f>+J24/$J$33</f>
        <v>9.9303809977322756E-4</v>
      </c>
      <c r="L24" s="25">
        <f>$L$34*S24</f>
        <v>-2649793.3333333335</v>
      </c>
      <c r="M24" s="35">
        <f>$M$34*T24</f>
        <v>-17697179.831089742</v>
      </c>
      <c r="N24" s="152">
        <f>$N$34*U24</f>
        <v>-16385420.785654597</v>
      </c>
      <c r="O24" s="2">
        <f t="shared" ref="O24:Q32" si="13">Z24</f>
        <v>-16854132.389966402</v>
      </c>
      <c r="P24" s="2">
        <f t="shared" si="13"/>
        <v>-17375396.271614362</v>
      </c>
      <c r="Q24" s="2">
        <f t="shared" si="13"/>
        <v>-17891392.179113936</v>
      </c>
      <c r="R24" s="2">
        <f t="shared" ref="Q24:R32" si="14">AC24</f>
        <v>-18415186.206380814</v>
      </c>
      <c r="S24" s="23">
        <f>'Proyección y Escenarios'!L24/'Proyección y Escenarios'!L$33</f>
        <v>9.7824633234138672E-4</v>
      </c>
      <c r="T24" s="23">
        <f>'Proyección y Escenarios'!M24/'Proyección y Escenarios'!M$33</f>
        <v>5.7256151858387774E-3</v>
      </c>
      <c r="U24" s="23">
        <f>'Proyección y Escenarios'!N24/'Proyección y Escenarios'!N$33</f>
        <v>4.8893359981199468E-3</v>
      </c>
      <c r="V24" s="23">
        <f>'Proyección y Escenarios'!O24/'Proyección y Escenarios'!O$33</f>
        <v>4.792356244318622E-3</v>
      </c>
      <c r="W24" s="23">
        <f>'Proyección y Escenarios'!P24/'Proyección y Escenarios'!P$33</f>
        <v>4.7230833760231964E-3</v>
      </c>
      <c r="X24" s="23">
        <f>'Proyección y Escenarios'!Q24/'Proyección y Escenarios'!Q$33</f>
        <v>4.6501170696191599E-3</v>
      </c>
      <c r="Y24" s="23">
        <f>'Proyección y Escenarios'!R24/'Proyección y Escenarios'!R$33</f>
        <v>4.5764976202423034E-3</v>
      </c>
      <c r="Z24" s="40">
        <f>N24*(1+$O$8)</f>
        <v>-16854132.389966402</v>
      </c>
      <c r="AA24" s="40">
        <f>Z24*(1+$P$8)</f>
        <v>-17375396.271614362</v>
      </c>
      <c r="AB24" s="40">
        <f>AA24*(1+$Q$8)</f>
        <v>-17891392.179113936</v>
      </c>
      <c r="AC24" s="40">
        <f>AB24*(1+$R$8)</f>
        <v>-18415186.206380814</v>
      </c>
      <c r="AD24" s="40"/>
      <c r="AE24" s="33">
        <f>+L24/L$33</f>
        <v>9.7824633234138672E-4</v>
      </c>
      <c r="AF24" s="33">
        <f t="shared" ref="AF24:AJ33" si="15">+M24/M$33</f>
        <v>5.7256151858387774E-3</v>
      </c>
      <c r="AG24" s="33">
        <f t="shared" si="15"/>
        <v>4.8893359981199468E-3</v>
      </c>
      <c r="AH24" s="33">
        <f t="shared" si="15"/>
        <v>5.0870752787774889E-3</v>
      </c>
      <c r="AI24" s="33">
        <f t="shared" si="15"/>
        <v>5.0135422862723012E-3</v>
      </c>
      <c r="AJ24" s="33">
        <f t="shared" si="15"/>
        <v>4.9360887175957831E-3</v>
      </c>
      <c r="AK24" s="33">
        <f t="shared" ref="AK24:AK33" si="16">+R24/R$33</f>
        <v>4.8579418391356934E-3</v>
      </c>
    </row>
    <row r="25" spans="2:37" outlineLevel="1" x14ac:dyDescent="0.25">
      <c r="B25" s="14" t="s">
        <v>37</v>
      </c>
      <c r="C25" s="31"/>
      <c r="D25" s="31"/>
      <c r="E25" s="2">
        <v>-22650000</v>
      </c>
      <c r="F25" s="2">
        <v>0</v>
      </c>
      <c r="G25" s="2">
        <v>0</v>
      </c>
      <c r="H25" s="2">
        <v>0</v>
      </c>
      <c r="I25" s="2">
        <v>0</v>
      </c>
      <c r="J25" s="25">
        <v>0</v>
      </c>
      <c r="K25" s="33">
        <f t="shared" ref="K25:K33" si="17">+J25/$J$33</f>
        <v>0</v>
      </c>
      <c r="L25" s="25">
        <f t="shared" ref="L25:L32" si="18">$L$34*S25</f>
        <v>0</v>
      </c>
      <c r="M25" s="35">
        <f t="shared" ref="M25:M32" si="19">$M$34*T25</f>
        <v>0</v>
      </c>
      <c r="N25" s="152">
        <f t="shared" ref="N25:N31" si="20">$N$34*U25</f>
        <v>0</v>
      </c>
      <c r="O25" s="2">
        <f t="shared" si="13"/>
        <v>0</v>
      </c>
      <c r="P25" s="2">
        <f t="shared" ref="P25:P32" si="21">AA25</f>
        <v>0</v>
      </c>
      <c r="Q25" s="2">
        <f t="shared" si="14"/>
        <v>0</v>
      </c>
      <c r="R25" s="2">
        <f t="shared" si="14"/>
        <v>0</v>
      </c>
      <c r="S25" s="23">
        <f>'Proyección y Escenarios'!L25/'Proyección y Escenarios'!L$33</f>
        <v>0</v>
      </c>
      <c r="T25" s="23">
        <f>'Proyección y Escenarios'!M25/'Proyección y Escenarios'!M$33</f>
        <v>0</v>
      </c>
      <c r="U25" s="23">
        <f>'Proyección y Escenarios'!N25/'Proyección y Escenarios'!N$33</f>
        <v>0</v>
      </c>
      <c r="V25" s="23">
        <f>'Proyección y Escenarios'!O25/'Proyección y Escenarios'!O$33</f>
        <v>0</v>
      </c>
      <c r="W25" s="23">
        <f>'Proyección y Escenarios'!P25/'Proyección y Escenarios'!P$33</f>
        <v>0</v>
      </c>
      <c r="X25" s="23">
        <f>'Proyección y Escenarios'!Q25/'Proyección y Escenarios'!Q$33</f>
        <v>0</v>
      </c>
      <c r="Y25" s="23">
        <f>'Proyección y Escenarios'!R25/'Proyección y Escenarios'!R$33</f>
        <v>0</v>
      </c>
      <c r="Z25" s="40">
        <f>N25*(1+$O$9)</f>
        <v>0</v>
      </c>
      <c r="AA25" s="40">
        <f>Z25*(1+$P$9)</f>
        <v>0</v>
      </c>
      <c r="AB25" s="40">
        <f>AA25*(1+$Q$9)</f>
        <v>0</v>
      </c>
      <c r="AC25" s="40">
        <f>AB25*(1+$R$9)</f>
        <v>0</v>
      </c>
      <c r="AD25" s="40"/>
      <c r="AE25" s="33">
        <f t="shared" ref="AE25:AE33" si="22">+L25/L$33</f>
        <v>0</v>
      </c>
      <c r="AF25" s="33">
        <f t="shared" si="15"/>
        <v>0</v>
      </c>
      <c r="AG25" s="33">
        <f t="shared" si="15"/>
        <v>0</v>
      </c>
      <c r="AH25" s="33">
        <f t="shared" si="15"/>
        <v>0</v>
      </c>
      <c r="AI25" s="33">
        <f t="shared" si="15"/>
        <v>0</v>
      </c>
      <c r="AJ25" s="33">
        <f t="shared" si="15"/>
        <v>0</v>
      </c>
      <c r="AK25" s="33">
        <f t="shared" si="16"/>
        <v>0</v>
      </c>
    </row>
    <row r="26" spans="2:37" outlineLevel="1" x14ac:dyDescent="0.25">
      <c r="B26" s="14" t="s">
        <v>42</v>
      </c>
      <c r="C26" s="28">
        <v>-14944027</v>
      </c>
      <c r="D26" s="31"/>
      <c r="E26" s="2">
        <v>-1102339180</v>
      </c>
      <c r="F26" s="2">
        <v>-1640432699</v>
      </c>
      <c r="G26" s="2">
        <v>-2245015412</v>
      </c>
      <c r="H26" s="2">
        <v>-2776649620</v>
      </c>
      <c r="I26" s="2">
        <v>-3146106920</v>
      </c>
      <c r="J26" s="25">
        <v>-2017381053</v>
      </c>
      <c r="K26" s="97">
        <f>+J26/$J$33</f>
        <v>0.77051394130370487</v>
      </c>
      <c r="L26" s="25">
        <f t="shared" si="18"/>
        <v>-2096364107.6109154</v>
      </c>
      <c r="M26" s="35">
        <f t="shared" si="19"/>
        <v>-2457714509.0637827</v>
      </c>
      <c r="N26" s="152">
        <f t="shared" si="20"/>
        <v>-2642856025.8628883</v>
      </c>
      <c r="O26" s="2">
        <f t="shared" si="13"/>
        <v>-2788213107.285347</v>
      </c>
      <c r="P26" s="2">
        <f t="shared" si="21"/>
        <v>-2927623762.6496143</v>
      </c>
      <c r="Q26" s="2">
        <f t="shared" si="14"/>
        <v>-3074004950.782095</v>
      </c>
      <c r="R26" s="2">
        <f t="shared" si="14"/>
        <v>-3227705198.3211999</v>
      </c>
      <c r="S26" s="23">
        <f>'Proyección y Escenarios'!L26/'Proyección y Escenarios'!L$33</f>
        <v>0.77393224359226831</v>
      </c>
      <c r="T26" s="23">
        <f>'Proyección y Escenarios'!M26/'Proyección y Escenarios'!M$33</f>
        <v>0.79515084605914743</v>
      </c>
      <c r="U26" s="23">
        <f>'Proyección y Escenarios'!N26/'Proyección y Escenarios'!N$33</f>
        <v>0.78861637269716389</v>
      </c>
      <c r="V26" s="23">
        <f>'Proyección y Escenarios'!O26/'Proyección y Escenarios'!O$33</f>
        <v>0.79280915718596623</v>
      </c>
      <c r="W26" s="23">
        <f>'Proyección y Escenarios'!P26/'Proyección y Escenarios'!P$33</f>
        <v>0.79580407309675449</v>
      </c>
      <c r="X26" s="23">
        <f>'Proyección y Escenarios'!Q26/'Proyección y Escenarios'!Q$33</f>
        <v>0.79895866965639084</v>
      </c>
      <c r="Y26" s="23">
        <f>'Proyección y Escenarios'!R26/'Proyección y Escenarios'!R$33</f>
        <v>0.80214150394213057</v>
      </c>
      <c r="Z26" s="40">
        <f>N26*(1+$O$9)</f>
        <v>-2788213107.285347</v>
      </c>
      <c r="AA26" s="40">
        <f>Z26*(1+$P$9)</f>
        <v>-2927623762.6496143</v>
      </c>
      <c r="AB26" s="40">
        <f>AA26*(1+$Q$9)</f>
        <v>-3074004950.782095</v>
      </c>
      <c r="AC26" s="40">
        <f>AB26*(1+$R$9)</f>
        <v>-3227705198.3211999</v>
      </c>
      <c r="AD26" s="40"/>
      <c r="AE26" s="97">
        <f t="shared" si="22"/>
        <v>0.77393224359226831</v>
      </c>
      <c r="AF26" s="97">
        <f>+M26/M$33</f>
        <v>0.79515084605914743</v>
      </c>
      <c r="AG26" s="97">
        <f t="shared" si="15"/>
        <v>0.78861637269716389</v>
      </c>
      <c r="AH26" s="97">
        <f t="shared" si="15"/>
        <v>0.84156512135140116</v>
      </c>
      <c r="AI26" s="97">
        <f t="shared" si="15"/>
        <v>0.84474421779479458</v>
      </c>
      <c r="AJ26" s="97">
        <f t="shared" si="15"/>
        <v>0.84809281488460131</v>
      </c>
      <c r="AK26" s="97">
        <f t="shared" si="16"/>
        <v>0.85147138625659125</v>
      </c>
    </row>
    <row r="27" spans="2:37" outlineLevel="1" x14ac:dyDescent="0.25">
      <c r="B27" s="14" t="s">
        <v>38</v>
      </c>
      <c r="C27" s="28">
        <v>-34064617</v>
      </c>
      <c r="D27" s="28">
        <v>-7030050</v>
      </c>
      <c r="E27" s="2">
        <v>-170770353</v>
      </c>
      <c r="F27" s="2">
        <v>-212031878</v>
      </c>
      <c r="G27" s="2">
        <v>-229534692</v>
      </c>
      <c r="H27" s="2">
        <v>-200054334</v>
      </c>
      <c r="I27" s="2">
        <v>-159927043</v>
      </c>
      <c r="J27" s="25">
        <v>-89313366</v>
      </c>
      <c r="K27" s="33">
        <f t="shared" si="17"/>
        <v>3.4112144329611842E-2</v>
      </c>
      <c r="L27" s="25">
        <f t="shared" si="18"/>
        <v>-91023831.463215381</v>
      </c>
      <c r="M27" s="35">
        <f t="shared" si="19"/>
        <v>-181584489.85476768</v>
      </c>
      <c r="N27" s="152">
        <f t="shared" si="20"/>
        <v>-151158009.9176805</v>
      </c>
      <c r="O27" s="2">
        <f t="shared" si="13"/>
        <v>-155481946.07165006</v>
      </c>
      <c r="P27" s="2">
        <f t="shared" si="21"/>
        <v>-160290685.01235852</v>
      </c>
      <c r="Q27" s="2">
        <f t="shared" si="14"/>
        <v>-165050826.08676958</v>
      </c>
      <c r="R27" s="2">
        <f t="shared" si="14"/>
        <v>-169882906.00733814</v>
      </c>
      <c r="S27" s="23">
        <f>'Proyección y Escenarios'!L27/'Proyección y Escenarios'!L$33</f>
        <v>3.3604027968678424E-2</v>
      </c>
      <c r="T27" s="23">
        <f>'Proyección y Escenarios'!M27/'Proyección y Escenarios'!M$33</f>
        <v>5.8748508098378997E-2</v>
      </c>
      <c r="U27" s="23">
        <f>'Proyección y Escenarios'!N27/'Proyección y Escenarios'!N$33</f>
        <v>4.510487151735125E-2</v>
      </c>
      <c r="V27" s="23">
        <f>'Proyección y Escenarios'!O27/'Proyección y Escenarios'!O$33</f>
        <v>4.4210218473118838E-2</v>
      </c>
      <c r="W27" s="23">
        <f>'Proyección y Escenarios'!P27/'Proyección y Escenarios'!P$33</f>
        <v>4.3571165680407309E-2</v>
      </c>
      <c r="X27" s="23">
        <f>'Proyección y Escenarios'!Q27/'Proyección y Escenarios'!Q$33</f>
        <v>4.2898040356904234E-2</v>
      </c>
      <c r="Y27" s="23">
        <f>'Proyección y Escenarios'!R27/'Proyección y Escenarios'!R$33</f>
        <v>4.2218889689697461E-2</v>
      </c>
      <c r="Z27" s="40">
        <f t="shared" ref="Z27:Z32" si="23">N27*(1+$O$8)</f>
        <v>-155481946.07165006</v>
      </c>
      <c r="AA27" s="40">
        <f t="shared" ref="AA27:AA32" si="24">Z27*(1+$P$8)</f>
        <v>-160290685.01235852</v>
      </c>
      <c r="AB27" s="40">
        <f t="shared" ref="AB27:AB32" si="25">AA27*(1+$Q$8)</f>
        <v>-165050826.08676958</v>
      </c>
      <c r="AC27" s="40">
        <f t="shared" ref="AC27:AC32" si="26">AB27*(1+$R$8)</f>
        <v>-169882906.00733814</v>
      </c>
      <c r="AD27" s="40"/>
      <c r="AE27" s="33">
        <f t="shared" si="22"/>
        <v>3.3604027968678424E-2</v>
      </c>
      <c r="AF27" s="33">
        <f t="shared" si="15"/>
        <v>5.8748508098378997E-2</v>
      </c>
      <c r="AG27" s="33">
        <f t="shared" si="15"/>
        <v>4.510487151735125E-2</v>
      </c>
      <c r="AH27" s="33">
        <f t="shared" si="15"/>
        <v>4.6929046589676303E-2</v>
      </c>
      <c r="AI27" s="33">
        <f t="shared" si="15"/>
        <v>4.6250693500318525E-2</v>
      </c>
      <c r="AJ27" s="33">
        <f t="shared" si="15"/>
        <v>4.5536172496841165E-2</v>
      </c>
      <c r="AK27" s="33">
        <f t="shared" si="16"/>
        <v>4.4815255604694702E-2</v>
      </c>
    </row>
    <row r="28" spans="2:37" outlineLevel="1" x14ac:dyDescent="0.25">
      <c r="B28" s="14" t="s">
        <v>39</v>
      </c>
      <c r="C28" s="31"/>
      <c r="D28" s="31"/>
      <c r="E28" s="2">
        <v>-82940000</v>
      </c>
      <c r="F28" s="2">
        <v>-98351760</v>
      </c>
      <c r="G28" s="2">
        <v>-362956995</v>
      </c>
      <c r="H28" s="2">
        <v>-456326150</v>
      </c>
      <c r="I28" s="2">
        <v>-491955892</v>
      </c>
      <c r="J28" s="25">
        <v>-457763325</v>
      </c>
      <c r="K28" s="33">
        <f t="shared" si="17"/>
        <v>0.17483708553995167</v>
      </c>
      <c r="L28" s="25">
        <f t="shared" si="18"/>
        <v>-466530079.54980767</v>
      </c>
      <c r="M28" s="35">
        <f t="shared" si="19"/>
        <v>-380623269.49600917</v>
      </c>
      <c r="N28" s="152">
        <f t="shared" si="20"/>
        <v>-482950066.22890085</v>
      </c>
      <c r="O28" s="2">
        <f t="shared" si="13"/>
        <v>-496765048.66394597</v>
      </c>
      <c r="P28" s="2">
        <f t="shared" si="21"/>
        <v>-512128976.72278583</v>
      </c>
      <c r="Q28" s="2">
        <f t="shared" si="14"/>
        <v>-527337634.52661443</v>
      </c>
      <c r="R28" s="2">
        <f t="shared" si="14"/>
        <v>-542776137.05077982</v>
      </c>
      <c r="S28" s="23">
        <f>'Proyección y Escenarios'!L28/'Proyección y Escenarios'!L$33</f>
        <v>0.1722328052929416</v>
      </c>
      <c r="T28" s="23">
        <f>'Proyección y Escenarios'!M28/'Proyección y Escenarios'!M$33</f>
        <v>0.12314404852695449</v>
      </c>
      <c r="U28" s="23">
        <f>'Proyección y Escenarios'!N28/'Proyección y Escenarios'!N$33</f>
        <v>0.14411013150023558</v>
      </c>
      <c r="V28" s="23">
        <f>'Proyección y Escenarios'!O28/'Proyección y Escenarios'!O$33</f>
        <v>0.14125171369492553</v>
      </c>
      <c r="W28" s="23">
        <f>'Proyección y Escenarios'!P28/'Proyección y Escenarios'!P$33</f>
        <v>0.13920993907291326</v>
      </c>
      <c r="X28" s="23">
        <f>'Proyección y Escenarios'!Q28/'Proyección y Escenarios'!Q$33</f>
        <v>0.13705930266440802</v>
      </c>
      <c r="Y28" s="23">
        <f>'Proyección y Escenarios'!R28/'Proyección y Escenarios'!R$33</f>
        <v>0.13488941527381895</v>
      </c>
      <c r="Z28" s="40">
        <f t="shared" si="23"/>
        <v>-496765048.66394597</v>
      </c>
      <c r="AA28" s="40">
        <f t="shared" si="24"/>
        <v>-512128976.72278583</v>
      </c>
      <c r="AB28" s="40">
        <f t="shared" si="25"/>
        <v>-527337634.52661443</v>
      </c>
      <c r="AC28" s="40">
        <f t="shared" si="26"/>
        <v>-542776137.05077982</v>
      </c>
      <c r="AD28" s="40"/>
      <c r="AE28" s="33">
        <f t="shared" si="22"/>
        <v>0.1722328052929416</v>
      </c>
      <c r="AF28" s="33">
        <f t="shared" si="15"/>
        <v>0.12314404852695449</v>
      </c>
      <c r="AG28" s="33">
        <f t="shared" si="15"/>
        <v>0.14411013150023558</v>
      </c>
      <c r="AH28" s="33">
        <f t="shared" si="15"/>
        <v>0.14993837356608622</v>
      </c>
      <c r="AI28" s="33">
        <f t="shared" si="15"/>
        <v>0.14777103443790945</v>
      </c>
      <c r="AJ28" s="33">
        <f t="shared" si="15"/>
        <v>0.14548813877039399</v>
      </c>
      <c r="AK28" s="33">
        <f t="shared" si="16"/>
        <v>0.14318480822907981</v>
      </c>
    </row>
    <row r="29" spans="2:37" outlineLevel="1" x14ac:dyDescent="0.25">
      <c r="B29" s="1" t="s">
        <v>40</v>
      </c>
      <c r="C29" s="31"/>
      <c r="D29" s="31"/>
      <c r="F29" s="2">
        <v>-55868430</v>
      </c>
      <c r="G29" s="2">
        <v>-1910349</v>
      </c>
      <c r="H29" s="2">
        <v>-51917400</v>
      </c>
      <c r="I29" s="2">
        <v>-6249936</v>
      </c>
      <c r="J29" s="25">
        <v>0</v>
      </c>
      <c r="K29" s="33">
        <f t="shared" si="17"/>
        <v>0</v>
      </c>
      <c r="L29" s="25">
        <f t="shared" si="18"/>
        <v>0</v>
      </c>
      <c r="M29" s="35">
        <f t="shared" si="19"/>
        <v>-23633326.350223076</v>
      </c>
      <c r="N29" s="152">
        <f t="shared" si="20"/>
        <v>-11902756.364130933</v>
      </c>
      <c r="O29" s="2">
        <f t="shared" si="13"/>
        <v>-12243239.535368668</v>
      </c>
      <c r="P29" s="2">
        <f t="shared" si="21"/>
        <v>-12621897.921127602</v>
      </c>
      <c r="Q29" s="2">
        <f t="shared" si="14"/>
        <v>-12996729.526137903</v>
      </c>
      <c r="R29" s="2">
        <f t="shared" si="14"/>
        <v>-13377225.869387323</v>
      </c>
      <c r="S29" s="23">
        <f>'Proyección y Escenarios'!L29/'Proyección y Escenarios'!L$33</f>
        <v>0</v>
      </c>
      <c r="T29" s="23">
        <f>'Proyección y Escenarios'!M29/'Proyección y Escenarios'!M$33</f>
        <v>7.6461522985150467E-3</v>
      </c>
      <c r="U29" s="23">
        <f>'Proyección y Escenarios'!N29/'Proyección y Escenarios'!N$33</f>
        <v>3.5517290601989088E-3</v>
      </c>
      <c r="V29" s="23">
        <f>'Proyección y Escenarios'!O29/'Proyección y Escenarios'!O$33</f>
        <v>3.4812806782592038E-3</v>
      </c>
      <c r="W29" s="23">
        <f>'Proyección y Escenarios'!P29/'Proyección y Escenarios'!P$33</f>
        <v>3.4309592318495482E-3</v>
      </c>
      <c r="X29" s="23">
        <f>'Proyección y Escenarios'!Q29/'Proyección y Escenarios'!Q$33</f>
        <v>3.3779547848305164E-3</v>
      </c>
      <c r="Y29" s="23">
        <f>'Proyección y Escenarios'!R29/'Proyección y Escenarios'!R$33</f>
        <v>3.324475879341475E-3</v>
      </c>
      <c r="Z29" s="40">
        <f>N29*(1+$O$8)</f>
        <v>-12243239.535368668</v>
      </c>
      <c r="AA29" s="40">
        <f t="shared" si="24"/>
        <v>-12621897.921127602</v>
      </c>
      <c r="AB29" s="40">
        <f t="shared" si="25"/>
        <v>-12996729.526137903</v>
      </c>
      <c r="AC29" s="40">
        <f t="shared" si="26"/>
        <v>-13377225.869387323</v>
      </c>
      <c r="AD29" s="40"/>
      <c r="AE29" s="33">
        <f t="shared" si="22"/>
        <v>0</v>
      </c>
      <c r="AF29" s="33">
        <f t="shared" si="15"/>
        <v>7.6461522985150467E-3</v>
      </c>
      <c r="AG29" s="33">
        <f t="shared" si="15"/>
        <v>3.5517290601989088E-3</v>
      </c>
      <c r="AH29" s="33">
        <f t="shared" si="15"/>
        <v>3.6953715404302282E-3</v>
      </c>
      <c r="AI29" s="33">
        <f t="shared" si="15"/>
        <v>3.641955439253199E-3</v>
      </c>
      <c r="AJ29" s="33">
        <f t="shared" si="15"/>
        <v>3.585691339017445E-3</v>
      </c>
      <c r="AK29" s="33">
        <f t="shared" si="16"/>
        <v>3.5289236021923921E-3</v>
      </c>
    </row>
    <row r="30" spans="2:37" outlineLevel="1" x14ac:dyDescent="0.25">
      <c r="B30" s="1" t="s">
        <v>43</v>
      </c>
      <c r="C30" s="31"/>
      <c r="D30" s="31"/>
      <c r="E30" s="2">
        <v>-30493853</v>
      </c>
      <c r="F30" s="2">
        <v>0</v>
      </c>
      <c r="G30" s="2">
        <v>-22944853</v>
      </c>
      <c r="H30" s="2">
        <v>-23861880</v>
      </c>
      <c r="I30" s="2">
        <v>0</v>
      </c>
      <c r="J30" s="25">
        <v>-51170097</v>
      </c>
      <c r="K30" s="33">
        <f t="shared" si="17"/>
        <v>1.9543790726958356E-2</v>
      </c>
      <c r="L30" s="25">
        <f t="shared" si="18"/>
        <v>-52150069.960238449</v>
      </c>
      <c r="M30" s="35">
        <f t="shared" si="19"/>
        <v>-19970642.381164104</v>
      </c>
      <c r="N30" s="152">
        <f t="shared" si="20"/>
        <v>-33034763.039420739</v>
      </c>
      <c r="O30" s="2">
        <f t="shared" si="13"/>
        <v>-33979735.828634873</v>
      </c>
      <c r="P30" s="2">
        <f t="shared" si="21"/>
        <v>-35030659.636848882</v>
      </c>
      <c r="Q30" s="2">
        <f t="shared" si="14"/>
        <v>-36070962.645025693</v>
      </c>
      <c r="R30" s="2">
        <f t="shared" si="14"/>
        <v>-37126987.497763947</v>
      </c>
      <c r="S30" s="23">
        <f>'Proyección y Escenarios'!L30/'Proyección y Escenarios'!L$33</f>
        <v>1.9252676813770377E-2</v>
      </c>
      <c r="T30" s="23">
        <f>'Proyección y Escenarios'!M30/'Proyección y Escenarios'!M$33</f>
        <v>6.4611545104872039E-3</v>
      </c>
      <c r="U30" s="23">
        <f>'Proyección y Escenarios'!N30/'Proyección y Escenarios'!N$33</f>
        <v>9.8574249774171716E-3</v>
      </c>
      <c r="V30" s="23">
        <f>'Proyección y Escenarios'!O30/'Proyección y Escenarios'!O$33</f>
        <v>9.6619034080685836E-3</v>
      </c>
      <c r="W30" s="23">
        <f>'Proyección y Escenarios'!P30/'Proyección y Escenarios'!P$33</f>
        <v>9.5222418870654808E-3</v>
      </c>
      <c r="X30" s="23">
        <f>'Proyección y Escenarios'!Q30/'Proyección y Escenarios'!Q$33</f>
        <v>9.3751339993004366E-3</v>
      </c>
      <c r="Y30" s="23">
        <f>'Proyección y Escenarios'!R30/'Proyección y Escenarios'!R$33</f>
        <v>9.2267093053562746E-3</v>
      </c>
      <c r="Z30" s="40">
        <f t="shared" si="23"/>
        <v>-33979735.828634873</v>
      </c>
      <c r="AA30" s="40">
        <f t="shared" si="24"/>
        <v>-35030659.636848882</v>
      </c>
      <c r="AB30" s="40">
        <f t="shared" si="25"/>
        <v>-36070962.645025693</v>
      </c>
      <c r="AC30" s="40">
        <f t="shared" si="26"/>
        <v>-37126987.497763947</v>
      </c>
      <c r="AD30" s="40"/>
      <c r="AE30" s="33">
        <f t="shared" si="22"/>
        <v>1.9252676813770377E-2</v>
      </c>
      <c r="AF30" s="33">
        <f t="shared" si="15"/>
        <v>6.4611545104872039E-3</v>
      </c>
      <c r="AG30" s="33">
        <f t="shared" si="15"/>
        <v>9.8574249774171716E-3</v>
      </c>
      <c r="AH30" s="33">
        <f t="shared" si="15"/>
        <v>1.0256088543373711E-2</v>
      </c>
      <c r="AI30" s="33">
        <f t="shared" si="15"/>
        <v>1.010783815574161E-2</v>
      </c>
      <c r="AJ30" s="33">
        <f t="shared" si="15"/>
        <v>9.9516834666886211E-3</v>
      </c>
      <c r="AK30" s="33">
        <f t="shared" si="16"/>
        <v>9.7941309908645274E-3</v>
      </c>
    </row>
    <row r="31" spans="2:37" hidden="1" outlineLevel="1" x14ac:dyDescent="0.25">
      <c r="B31" s="1" t="s">
        <v>29</v>
      </c>
      <c r="C31" s="31"/>
      <c r="D31" s="31"/>
      <c r="F31" s="2">
        <v>0</v>
      </c>
      <c r="G31" s="2">
        <v>0</v>
      </c>
      <c r="H31" s="2">
        <v>0</v>
      </c>
      <c r="I31" s="2">
        <v>-41006500</v>
      </c>
      <c r="J31" s="25">
        <v>0</v>
      </c>
      <c r="K31" s="33">
        <f t="shared" si="17"/>
        <v>0</v>
      </c>
      <c r="L31" s="25">
        <f t="shared" si="18"/>
        <v>0</v>
      </c>
      <c r="M31" s="35">
        <f t="shared" si="19"/>
        <v>-8358365.4094871795</v>
      </c>
      <c r="N31" s="152">
        <f t="shared" si="20"/>
        <v>-11228126.713309569</v>
      </c>
      <c r="O31" s="2">
        <f t="shared" si="13"/>
        <v>-11549311.829887053</v>
      </c>
      <c r="P31" s="2">
        <f t="shared" si="21"/>
        <v>-11906508.449417206</v>
      </c>
      <c r="Q31" s="2">
        <f t="shared" si="14"/>
        <v>-12260095.184158051</v>
      </c>
      <c r="R31" s="2">
        <f t="shared" si="14"/>
        <v>-12619025.588617131</v>
      </c>
      <c r="S31" s="23">
        <f>'Proyección y Escenarios'!L31/'Proyección y Escenarios'!L$33</f>
        <v>0</v>
      </c>
      <c r="T31" s="23">
        <f>'Proyección y Escenarios'!M31/'Proyección y Escenarios'!M$33</f>
        <v>2.7042039677574129E-3</v>
      </c>
      <c r="U31" s="23">
        <f>'Proyección y Escenarios'!N31/'Proyección y Escenarios'!N$33</f>
        <v>3.3504226012248551E-3</v>
      </c>
      <c r="V31" s="23">
        <f>'Proyección y Escenarios'!O31/'Proyección y Escenarios'!O$33</f>
        <v>3.2839671236053742E-3</v>
      </c>
      <c r="W31" s="23">
        <f>'Proyección y Escenarios'!P31/'Proyección y Escenarios'!P$33</f>
        <v>3.2364978182277296E-3</v>
      </c>
      <c r="X31" s="23">
        <f>'Proyección y Escenarios'!Q31/'Proyección y Escenarios'!Q$33</f>
        <v>3.1864975805271541E-3</v>
      </c>
      <c r="Y31" s="23">
        <f>'Proyección y Escenarios'!R31/'Proyección y Escenarios'!R$33</f>
        <v>3.1360497759220307E-3</v>
      </c>
      <c r="Z31" s="40">
        <f t="shared" si="23"/>
        <v>-11549311.829887053</v>
      </c>
      <c r="AA31" s="40">
        <f t="shared" si="24"/>
        <v>-11906508.449417206</v>
      </c>
      <c r="AB31" s="40">
        <f t="shared" si="25"/>
        <v>-12260095.184158051</v>
      </c>
      <c r="AC31" s="40">
        <f t="shared" si="26"/>
        <v>-12619025.588617131</v>
      </c>
      <c r="AD31" s="40"/>
      <c r="AE31" s="33">
        <f t="shared" si="22"/>
        <v>0</v>
      </c>
      <c r="AF31" s="33">
        <f t="shared" si="15"/>
        <v>2.7042039677574129E-3</v>
      </c>
      <c r="AG31" s="33">
        <f t="shared" si="15"/>
        <v>3.3504226012248551E-3</v>
      </c>
      <c r="AH31" s="33">
        <f t="shared" si="15"/>
        <v>3.4859236498988931E-3</v>
      </c>
      <c r="AI31" s="33">
        <f t="shared" si="15"/>
        <v>3.4355350899554138E-3</v>
      </c>
      <c r="AJ31" s="33">
        <f t="shared" si="15"/>
        <v>3.3824599510942042E-3</v>
      </c>
      <c r="AK31" s="33">
        <f t="shared" si="16"/>
        <v>3.3289097209794126E-3</v>
      </c>
    </row>
    <row r="32" spans="2:37" ht="15.75" outlineLevel="1" thickBot="1" x14ac:dyDescent="0.3">
      <c r="B32" s="1" t="s">
        <v>62</v>
      </c>
      <c r="C32" s="31"/>
      <c r="D32" s="31"/>
      <c r="F32" s="2">
        <v>0</v>
      </c>
      <c r="G32" s="2">
        <v>0</v>
      </c>
      <c r="H32" s="2">
        <v>0</v>
      </c>
      <c r="I32" s="2">
        <f>-6360856+I31</f>
        <v>-47367356</v>
      </c>
      <c r="J32" s="25">
        <v>0</v>
      </c>
      <c r="K32" s="33">
        <f t="shared" si="17"/>
        <v>0</v>
      </c>
      <c r="L32" s="25">
        <f t="shared" si="18"/>
        <v>0</v>
      </c>
      <c r="M32" s="35">
        <f t="shared" si="19"/>
        <v>-9654900.3189558964</v>
      </c>
      <c r="N32" s="152">
        <f>$N$34*U32</f>
        <v>-12969813.937849959</v>
      </c>
      <c r="O32" s="2">
        <f t="shared" si="13"/>
        <v>-13340820.723574836</v>
      </c>
      <c r="P32" s="2">
        <f t="shared" si="21"/>
        <v>-13753425.053114818</v>
      </c>
      <c r="Q32" s="2">
        <f t="shared" si="14"/>
        <v>-14161859.53889993</v>
      </c>
      <c r="R32" s="2">
        <f t="shared" si="14"/>
        <v>-14576466.595030963</v>
      </c>
      <c r="S32" s="23">
        <f>'Proyección y Escenarios'!L32/'Proyección y Escenarios'!L$33</f>
        <v>0</v>
      </c>
      <c r="T32" s="23">
        <f>'Proyección y Escenarios'!M32/'Proyección y Escenarios'!M$33</f>
        <v>3.1236753206778899E-3</v>
      </c>
      <c r="U32" s="23">
        <f>'Proyección y Escenarios'!N32/'Proyección y Escenarios'!N$33</f>
        <v>3.8701342495132173E-3</v>
      </c>
      <c r="V32" s="23">
        <f>'Proyección y Escenarios'!O32/'Proyección y Escenarios'!O$33</f>
        <v>3.7933703153429765E-3</v>
      </c>
      <c r="W32" s="23">
        <f>'Proyección y Escenarios'!P32/'Proyección y Escenarios'!P$33</f>
        <v>3.7385376549867988E-3</v>
      </c>
      <c r="X32" s="23">
        <f>'Proyección y Escenarios'!Q32/'Proyección y Escenarios'!Q$33</f>
        <v>3.6807814685468981E-3</v>
      </c>
      <c r="Y32" s="23">
        <f>'Proyección y Escenarios'!R32/'Proyección y Escenarios'!R$33</f>
        <v>3.6225082894131193E-3</v>
      </c>
      <c r="Z32" s="40">
        <f t="shared" si="23"/>
        <v>-13340820.723574836</v>
      </c>
      <c r="AA32" s="40">
        <f t="shared" si="24"/>
        <v>-13753425.053114818</v>
      </c>
      <c r="AB32" s="40">
        <f t="shared" si="25"/>
        <v>-14161859.53889993</v>
      </c>
      <c r="AC32" s="40">
        <f t="shared" si="26"/>
        <v>-14576466.595030963</v>
      </c>
      <c r="AD32" s="40"/>
      <c r="AE32" s="33">
        <f t="shared" si="22"/>
        <v>0</v>
      </c>
      <c r="AF32" s="33">
        <f t="shared" si="15"/>
        <v>3.1236753206778899E-3</v>
      </c>
      <c r="AG32" s="33">
        <f t="shared" si="15"/>
        <v>3.8701342495132177E-3</v>
      </c>
      <c r="AH32" s="33">
        <f t="shared" si="15"/>
        <v>4.0266539820170031E-3</v>
      </c>
      <c r="AI32" s="33">
        <f t="shared" si="15"/>
        <v>3.9684492374723549E-3</v>
      </c>
      <c r="AJ32" s="33">
        <f t="shared" si="15"/>
        <v>3.9071411766237489E-3</v>
      </c>
      <c r="AK32" s="33">
        <f t="shared" si="16"/>
        <v>3.8452843292037242E-3</v>
      </c>
    </row>
    <row r="33" spans="2:37" ht="15.75" thickBot="1" x14ac:dyDescent="0.3">
      <c r="B33" s="122" t="s">
        <v>424</v>
      </c>
      <c r="C33" s="30">
        <f t="shared" ref="C33:J33" si="27">SUM(C24:C32)</f>
        <v>-49008644</v>
      </c>
      <c r="D33" s="30">
        <f t="shared" si="27"/>
        <v>-7030050</v>
      </c>
      <c r="E33" s="8">
        <f t="shared" si="27"/>
        <v>-1409193386</v>
      </c>
      <c r="F33" s="8">
        <f t="shared" si="27"/>
        <v>-2020254767</v>
      </c>
      <c r="G33" s="8">
        <f t="shared" si="27"/>
        <v>-2862362301</v>
      </c>
      <c r="H33" s="8">
        <f t="shared" si="27"/>
        <v>-3546088959</v>
      </c>
      <c r="I33" s="8">
        <f>SUM(I24:I32)-I31</f>
        <v>-3884980697</v>
      </c>
      <c r="J33" s="8">
        <f t="shared" si="27"/>
        <v>-2618227841</v>
      </c>
      <c r="K33" s="33">
        <f t="shared" si="17"/>
        <v>1</v>
      </c>
      <c r="L33" s="95">
        <v>-2708717881.91751</v>
      </c>
      <c r="M33" s="95">
        <v>-3090878317.2959929</v>
      </c>
      <c r="N33" s="153">
        <v>-3351256856.1365261</v>
      </c>
      <c r="O33" s="94">
        <v>-3313128166.2528763</v>
      </c>
      <c r="P33" s="94">
        <v>-3465692574.1287446</v>
      </c>
      <c r="Q33" s="94">
        <v>-3624609119.2275577</v>
      </c>
      <c r="R33" s="94">
        <v>-3790738303.6222544</v>
      </c>
      <c r="S33" s="23">
        <f>SUM(S24:S32)</f>
        <v>1</v>
      </c>
      <c r="T33" s="23">
        <f t="shared" ref="T33:U33" si="28">SUM(T24:T32)</f>
        <v>1.0027042039677572</v>
      </c>
      <c r="U33" s="23">
        <f t="shared" si="28"/>
        <v>1.0033504226012249</v>
      </c>
      <c r="V33" s="23">
        <f>SUM(V24:V32)</f>
        <v>1.0032839671236053</v>
      </c>
      <c r="W33" s="23">
        <f t="shared" ref="W33" si="29">SUM(W24:W32)</f>
        <v>1.003236497818228</v>
      </c>
      <c r="X33" s="23">
        <f t="shared" ref="X33" si="30">SUM(X24:X32)</f>
        <v>1.0031864975805274</v>
      </c>
      <c r="Y33" s="23">
        <f t="shared" ref="Y33" si="31">SUM(Y24:Y32)</f>
        <v>1.0031360497759221</v>
      </c>
      <c r="Z33" s="8">
        <f t="shared" ref="Z33:AC33" si="32">SUM(Z24:Z32)</f>
        <v>-3528427342.3283744</v>
      </c>
      <c r="AA33" s="8">
        <f t="shared" si="32"/>
        <v>-3690731311.7168822</v>
      </c>
      <c r="AB33" s="8">
        <f t="shared" si="32"/>
        <v>-3859774450.4688139</v>
      </c>
      <c r="AC33" s="8">
        <f t="shared" si="32"/>
        <v>-4036479133.136498</v>
      </c>
      <c r="AD33" s="8"/>
      <c r="AE33" s="33">
        <f t="shared" si="22"/>
        <v>1</v>
      </c>
      <c r="AF33" s="33">
        <f t="shared" si="15"/>
        <v>1</v>
      </c>
      <c r="AG33" s="33">
        <f t="shared" si="15"/>
        <v>1</v>
      </c>
      <c r="AH33" s="33">
        <f t="shared" si="15"/>
        <v>1</v>
      </c>
      <c r="AI33" s="33">
        <f t="shared" si="15"/>
        <v>1</v>
      </c>
      <c r="AJ33" s="33">
        <f t="shared" si="15"/>
        <v>1</v>
      </c>
      <c r="AK33" s="33">
        <f t="shared" si="16"/>
        <v>1</v>
      </c>
    </row>
    <row r="34" spans="2:37" ht="4.5" customHeight="1" thickBot="1" x14ac:dyDescent="0.3">
      <c r="J34" s="159"/>
      <c r="K34" s="39"/>
      <c r="L34" s="159">
        <f>L33</f>
        <v>-2708717881.91751</v>
      </c>
      <c r="M34" s="119">
        <f t="shared" ref="M34" si="33">M33</f>
        <v>-3090878317.2959929</v>
      </c>
      <c r="N34" s="154">
        <f>N33</f>
        <v>-3351256856.1365261</v>
      </c>
      <c r="O34" s="119">
        <f>O33</f>
        <v>-3313128166.2528763</v>
      </c>
      <c r="P34" s="119">
        <f>IF(P52=0,P33,AA33)</f>
        <v>-3690731311.7168822</v>
      </c>
      <c r="Q34" s="119">
        <f t="shared" ref="Q34:R34" si="34">IF(Q52=0,AB33,Q33)</f>
        <v>-3624609119.2275577</v>
      </c>
      <c r="R34" s="119">
        <f t="shared" si="34"/>
        <v>-3790738303.6222544</v>
      </c>
    </row>
    <row r="35" spans="2:37" ht="15.75" thickBot="1" x14ac:dyDescent="0.3">
      <c r="B35" s="121" t="s">
        <v>426</v>
      </c>
      <c r="C35" s="31"/>
      <c r="D35" s="31"/>
      <c r="J35" s="12"/>
      <c r="K35" s="39"/>
      <c r="L35" s="163">
        <f>SUM(L24:L32)-L31</f>
        <v>-2708717881.91751</v>
      </c>
      <c r="M35" s="164">
        <f t="shared" ref="M35:N35" si="35">SUM(M24:M32)-M31</f>
        <v>-3090878317.2959929</v>
      </c>
      <c r="N35" s="166">
        <f t="shared" si="35"/>
        <v>-3351256856.1365256</v>
      </c>
      <c r="O35" s="164">
        <f>SUM(O24:O32)-O31</f>
        <v>-3516878030.4984875</v>
      </c>
      <c r="P35" s="164">
        <f t="shared" ref="P35:R35" si="36">SUM(P24:P32)-P31</f>
        <v>-3678824803.2674651</v>
      </c>
      <c r="Q35" s="164">
        <f t="shared" si="36"/>
        <v>-3847514355.284656</v>
      </c>
      <c r="R35" s="165">
        <f t="shared" si="36"/>
        <v>-4023860107.5478806</v>
      </c>
    </row>
    <row r="36" spans="2:37" ht="6" customHeight="1" x14ac:dyDescent="0.25">
      <c r="J36" s="159"/>
      <c r="K36" s="39"/>
      <c r="L36" s="159">
        <v>-2708717881.91751</v>
      </c>
      <c r="M36" s="120">
        <v>-3090878317.2959929</v>
      </c>
      <c r="N36" s="155">
        <v>-3157102232.7550588</v>
      </c>
      <c r="O36" s="120">
        <v>-3313128166.2528763</v>
      </c>
      <c r="P36" s="120">
        <v>-3465692574.1287446</v>
      </c>
      <c r="Q36" s="120">
        <v>-3624609119.2275577</v>
      </c>
      <c r="R36" s="120">
        <v>-3790738303.6222544</v>
      </c>
    </row>
    <row r="37" spans="2:37" ht="11.25" customHeight="1" x14ac:dyDescent="0.25">
      <c r="B37" s="1" t="s">
        <v>33</v>
      </c>
      <c r="C37" s="31"/>
      <c r="D37" s="31"/>
      <c r="J37" s="12"/>
      <c r="K37" s="39"/>
      <c r="L37" s="12"/>
      <c r="M37" s="34"/>
      <c r="N37" s="148"/>
      <c r="O37" s="2">
        <f t="shared" ref="O37:Q37" si="37">O$34*V37</f>
        <v>0</v>
      </c>
      <c r="P37" s="2">
        <f t="shared" si="37"/>
        <v>0</v>
      </c>
      <c r="Q37" s="2">
        <f t="shared" si="37"/>
        <v>0</v>
      </c>
      <c r="R37" s="2">
        <f>R$34*Y37</f>
        <v>0</v>
      </c>
    </row>
    <row r="38" spans="2:37" hidden="1" outlineLevel="1" x14ac:dyDescent="0.25">
      <c r="B38" s="1" t="s">
        <v>46</v>
      </c>
      <c r="C38" s="31"/>
      <c r="D38" s="31"/>
      <c r="E38" s="2">
        <v>-229340</v>
      </c>
      <c r="F38" s="2">
        <v>-8259122</v>
      </c>
      <c r="G38" s="2">
        <v>0</v>
      </c>
      <c r="H38" s="2">
        <v>-1395000</v>
      </c>
      <c r="I38" s="2">
        <v>0</v>
      </c>
      <c r="J38" s="25">
        <v>-7047647</v>
      </c>
      <c r="K38" s="33">
        <f>+J38/$J$50</f>
        <v>9.967445072885997E-2</v>
      </c>
      <c r="L38" s="25">
        <f t="shared" ref="L38:L49" si="38">J38*(1+$L$8)</f>
        <v>-7182618.4754948718</v>
      </c>
      <c r="M38" s="34">
        <f t="shared" ref="M38:M49" si="39">AVERAGE(F38:J38)*(1+$M$8)</f>
        <v>-3404325.8577748714</v>
      </c>
      <c r="N38" s="148">
        <f t="shared" ref="N38:N49" si="40">((F38*(1+$F$7))*$F$10)+((G38*(1+$G$7))*$G$10)+ ((H38*(1+$H$7))*$H$10)+((I38*(1+$I$7))*$I$10)+((J38*(1+$N$8))*$J$10)</f>
        <v>-4169638.0804204359</v>
      </c>
      <c r="O38" s="2">
        <f t="shared" ref="O38:O49" si="41">N38*(1+$O$8)</f>
        <v>-4288912.268104679</v>
      </c>
      <c r="P38" s="2">
        <f t="shared" ref="P38:P49" si="42">O38*(1+$P$8)</f>
        <v>-4421559.5622632755</v>
      </c>
      <c r="Q38" s="2">
        <f t="shared" ref="Q38:Q49" si="43">P38*(1+$Q$8)</f>
        <v>-4552866.302163112</v>
      </c>
      <c r="R38" s="2">
        <f t="shared" ref="R38:R49" si="44">Q38*(1+$R$8)</f>
        <v>-4686157.4486621302</v>
      </c>
    </row>
    <row r="39" spans="2:37" hidden="1" outlineLevel="1" x14ac:dyDescent="0.25">
      <c r="B39" s="1" t="s">
        <v>47</v>
      </c>
      <c r="C39" s="28">
        <v>-875600</v>
      </c>
      <c r="D39" s="31"/>
      <c r="E39" s="2">
        <v>-4234000</v>
      </c>
      <c r="F39" s="2">
        <v>-10200000</v>
      </c>
      <c r="G39" s="2">
        <v>-14592800</v>
      </c>
      <c r="H39" s="2">
        <v>-3250000</v>
      </c>
      <c r="I39" s="2">
        <v>-4799984</v>
      </c>
      <c r="J39" s="25">
        <v>0</v>
      </c>
      <c r="K39" s="33">
        <f t="shared" ref="K39:K49" si="45">+J39/$J$50</f>
        <v>0</v>
      </c>
      <c r="L39" s="25">
        <f t="shared" si="38"/>
        <v>0</v>
      </c>
      <c r="M39" s="34">
        <f t="shared" si="39"/>
        <v>-6694353.0839466667</v>
      </c>
      <c r="N39" s="148">
        <f t="shared" si="40"/>
        <v>-3385646.6778000002</v>
      </c>
      <c r="O39" s="2">
        <f t="shared" si="41"/>
        <v>-3482494.4735779334</v>
      </c>
      <c r="P39" s="2">
        <f t="shared" si="42"/>
        <v>-3590200.9128720434</v>
      </c>
      <c r="Q39" s="2">
        <f t="shared" si="43"/>
        <v>-3696818.8540794984</v>
      </c>
      <c r="R39" s="2">
        <f t="shared" si="44"/>
        <v>-3805048.0861185179</v>
      </c>
    </row>
    <row r="40" spans="2:37" hidden="1" outlineLevel="1" x14ac:dyDescent="0.25">
      <c r="B40" s="1" t="s">
        <v>45</v>
      </c>
      <c r="C40" s="31"/>
      <c r="D40" s="31"/>
      <c r="E40" s="2">
        <v>-73293600</v>
      </c>
      <c r="F40" s="2">
        <v>-12577352</v>
      </c>
      <c r="G40" s="2">
        <v>-4500000</v>
      </c>
      <c r="H40" s="2">
        <v>-4850000</v>
      </c>
      <c r="I40" s="2">
        <v>0</v>
      </c>
      <c r="J40" s="25">
        <v>0</v>
      </c>
      <c r="K40" s="33">
        <f t="shared" si="45"/>
        <v>0</v>
      </c>
      <c r="L40" s="25">
        <f t="shared" si="38"/>
        <v>0</v>
      </c>
      <c r="M40" s="34">
        <f t="shared" si="39"/>
        <v>-4469457.7805579491</v>
      </c>
      <c r="N40" s="148">
        <f t="shared" si="40"/>
        <v>-1616043.3678680002</v>
      </c>
      <c r="O40" s="2">
        <f t="shared" si="41"/>
        <v>-1662270.9435585812</v>
      </c>
      <c r="P40" s="2">
        <f t="shared" si="42"/>
        <v>-1713681.5878054365</v>
      </c>
      <c r="Q40" s="2">
        <f t="shared" si="43"/>
        <v>-1764572.6680572033</v>
      </c>
      <c r="R40" s="2">
        <f t="shared" si="44"/>
        <v>-1816232.8527400766</v>
      </c>
    </row>
    <row r="41" spans="2:37" hidden="1" outlineLevel="1" x14ac:dyDescent="0.25">
      <c r="B41" s="1" t="s">
        <v>48</v>
      </c>
      <c r="C41" s="31"/>
      <c r="D41" s="31"/>
      <c r="F41" s="2">
        <v>0</v>
      </c>
      <c r="G41" s="2">
        <v>0</v>
      </c>
      <c r="H41" s="2">
        <v>-162593274</v>
      </c>
      <c r="I41" s="2">
        <v>0</v>
      </c>
      <c r="J41" s="25">
        <v>0</v>
      </c>
      <c r="K41" s="33">
        <f t="shared" si="45"/>
        <v>0</v>
      </c>
      <c r="L41" s="25">
        <f t="shared" si="38"/>
        <v>0</v>
      </c>
      <c r="M41" s="34">
        <f t="shared" si="39"/>
        <v>-33141428.730003078</v>
      </c>
      <c r="N41" s="148">
        <f t="shared" si="40"/>
        <v>-21155417.363325</v>
      </c>
      <c r="O41" s="2">
        <f t="shared" si="41"/>
        <v>-21760576.653523464</v>
      </c>
      <c r="P41" s="2">
        <f t="shared" si="42"/>
        <v>-22433586.832324859</v>
      </c>
      <c r="Q41" s="2">
        <f t="shared" si="43"/>
        <v>-23099795.465213809</v>
      </c>
      <c r="R41" s="2">
        <f t="shared" si="44"/>
        <v>-23776072.345997311</v>
      </c>
    </row>
    <row r="42" spans="2:37" hidden="1" outlineLevel="1" x14ac:dyDescent="0.25">
      <c r="B42" s="1" t="s">
        <v>49</v>
      </c>
      <c r="C42" s="31"/>
      <c r="D42" s="31"/>
      <c r="E42" s="2">
        <v>-1800000</v>
      </c>
      <c r="F42" s="2">
        <v>0</v>
      </c>
      <c r="G42" s="2">
        <v>0</v>
      </c>
      <c r="H42" s="2">
        <v>0</v>
      </c>
      <c r="I42" s="2">
        <v>0</v>
      </c>
      <c r="J42" s="25">
        <v>0</v>
      </c>
      <c r="K42" s="33">
        <f t="shared" si="45"/>
        <v>0</v>
      </c>
      <c r="L42" s="25">
        <f t="shared" si="38"/>
        <v>0</v>
      </c>
      <c r="M42" s="34">
        <f t="shared" si="39"/>
        <v>0</v>
      </c>
      <c r="N42" s="148">
        <f t="shared" si="40"/>
        <v>0</v>
      </c>
      <c r="O42" s="2">
        <f t="shared" si="41"/>
        <v>0</v>
      </c>
      <c r="P42" s="2">
        <f t="shared" si="42"/>
        <v>0</v>
      </c>
      <c r="Q42" s="2">
        <f t="shared" si="43"/>
        <v>0</v>
      </c>
      <c r="R42" s="2">
        <f t="shared" si="44"/>
        <v>0</v>
      </c>
    </row>
    <row r="43" spans="2:37" hidden="1" outlineLevel="1" x14ac:dyDescent="0.25">
      <c r="B43" s="1" t="s">
        <v>50</v>
      </c>
      <c r="C43" s="31"/>
      <c r="D43" s="31"/>
      <c r="E43" s="2">
        <v>-75558000</v>
      </c>
      <c r="F43" s="2">
        <v>0</v>
      </c>
      <c r="G43" s="2">
        <v>0</v>
      </c>
      <c r="H43" s="2">
        <v>0</v>
      </c>
      <c r="I43" s="2">
        <v>0</v>
      </c>
      <c r="J43" s="25">
        <v>-17683076</v>
      </c>
      <c r="K43" s="33">
        <f t="shared" si="45"/>
        <v>0.25009068806889534</v>
      </c>
      <c r="L43" s="25">
        <f t="shared" si="38"/>
        <v>-18021729.576010257</v>
      </c>
      <c r="M43" s="34">
        <f t="shared" si="39"/>
        <v>-3604345.9152020514</v>
      </c>
      <c r="N43" s="148">
        <f t="shared" si="40"/>
        <v>-9010864.7880051285</v>
      </c>
      <c r="O43" s="2">
        <f t="shared" si="41"/>
        <v>-9268624.2283193078</v>
      </c>
      <c r="P43" s="2">
        <f t="shared" si="42"/>
        <v>-9555283.8398022633</v>
      </c>
      <c r="Q43" s="2">
        <f t="shared" si="43"/>
        <v>-9839046.4245088678</v>
      </c>
      <c r="R43" s="2">
        <f t="shared" si="44"/>
        <v>-10127097.443656249</v>
      </c>
    </row>
    <row r="44" spans="2:37" hidden="1" outlineLevel="1" x14ac:dyDescent="0.25">
      <c r="B44" s="1" t="s">
        <v>51</v>
      </c>
      <c r="C44" s="31"/>
      <c r="D44" s="31"/>
      <c r="E44" s="2">
        <v>-101337400</v>
      </c>
      <c r="F44" s="2">
        <v>-94123600</v>
      </c>
      <c r="G44" s="2">
        <v>-81415913</v>
      </c>
      <c r="H44" s="2">
        <v>-154388912</v>
      </c>
      <c r="I44" s="2">
        <v>0</v>
      </c>
      <c r="J44" s="25">
        <v>-9350000</v>
      </c>
      <c r="K44" s="33">
        <f t="shared" si="45"/>
        <v>0.13223649174183108</v>
      </c>
      <c r="L44" s="25">
        <f t="shared" si="38"/>
        <v>-9529064.4871794861</v>
      </c>
      <c r="M44" s="34">
        <f t="shared" si="39"/>
        <v>-69155208.362217948</v>
      </c>
      <c r="N44" s="148">
        <f t="shared" si="40"/>
        <v>-36262555.343389742</v>
      </c>
      <c r="O44" s="2">
        <f t="shared" si="41"/>
        <v>-37299860.440023355</v>
      </c>
      <c r="P44" s="2">
        <f t="shared" si="42"/>
        <v>-38453468.919417329</v>
      </c>
      <c r="Q44" s="2">
        <f t="shared" si="43"/>
        <v>-39595418.851459824</v>
      </c>
      <c r="R44" s="2">
        <f t="shared" si="44"/>
        <v>-40754626.79312779</v>
      </c>
    </row>
    <row r="45" spans="2:37" hidden="1" outlineLevel="1" x14ac:dyDescent="0.25">
      <c r="B45" s="1" t="s">
        <v>52</v>
      </c>
      <c r="C45" s="31"/>
      <c r="D45" s="31"/>
      <c r="F45" s="2">
        <v>0</v>
      </c>
      <c r="G45" s="2">
        <v>0</v>
      </c>
      <c r="H45" s="2">
        <v>-450163614</v>
      </c>
      <c r="I45" s="2">
        <v>0</v>
      </c>
      <c r="J45" s="25">
        <v>0</v>
      </c>
      <c r="K45" s="33">
        <f t="shared" si="45"/>
        <v>0</v>
      </c>
      <c r="L45" s="25">
        <f t="shared" si="38"/>
        <v>0</v>
      </c>
      <c r="M45" s="34">
        <f t="shared" si="39"/>
        <v>-91756964.868187681</v>
      </c>
      <c r="N45" s="148">
        <f t="shared" si="40"/>
        <v>-58571913.226574995</v>
      </c>
      <c r="O45" s="2">
        <f t="shared" si="41"/>
        <v>-60247386.549791403</v>
      </c>
      <c r="P45" s="2">
        <f t="shared" si="42"/>
        <v>-62110715.129717909</v>
      </c>
      <c r="Q45" s="2">
        <f t="shared" si="43"/>
        <v>-63955212.62018168</v>
      </c>
      <c r="R45" s="2">
        <f t="shared" si="44"/>
        <v>-65827585.54944656</v>
      </c>
    </row>
    <row r="46" spans="2:37" hidden="1" outlineLevel="1" x14ac:dyDescent="0.25">
      <c r="B46" s="1" t="s">
        <v>53</v>
      </c>
      <c r="C46" s="31"/>
      <c r="D46" s="31"/>
      <c r="E46" s="2">
        <v>-9181910</v>
      </c>
      <c r="F46" s="2">
        <v>-85121336.900000006</v>
      </c>
      <c r="G46" s="2">
        <v>-17453130</v>
      </c>
      <c r="H46" s="2">
        <v>-17329479</v>
      </c>
      <c r="I46" s="2">
        <v>-19393660</v>
      </c>
      <c r="J46" s="25">
        <v>-21134410</v>
      </c>
      <c r="K46" s="97">
        <f>+J46/$J$50</f>
        <v>0.29890269876293823</v>
      </c>
      <c r="L46" s="25">
        <f t="shared" si="38"/>
        <v>-21539161.046897434</v>
      </c>
      <c r="M46" s="34">
        <f t="shared" si="39"/>
        <v>-32700898.937311333</v>
      </c>
      <c r="N46" s="148">
        <f t="shared" si="40"/>
        <v>-23593274.068202067</v>
      </c>
      <c r="O46" s="2">
        <f t="shared" si="41"/>
        <v>-24268169.237763826</v>
      </c>
      <c r="P46" s="2">
        <f t="shared" si="42"/>
        <v>-25018734.132157162</v>
      </c>
      <c r="Q46" s="2">
        <f t="shared" si="43"/>
        <v>-25761713.700577304</v>
      </c>
      <c r="R46" s="2">
        <f t="shared" si="44"/>
        <v>-26515921.737237196</v>
      </c>
    </row>
    <row r="47" spans="2:37" hidden="1" outlineLevel="1" x14ac:dyDescent="0.25">
      <c r="B47" s="1" t="s">
        <v>17</v>
      </c>
      <c r="C47" s="31"/>
      <c r="D47" s="31"/>
      <c r="E47" s="2">
        <v>-2972287</v>
      </c>
      <c r="F47" s="2">
        <v>0</v>
      </c>
      <c r="G47" s="2">
        <v>0</v>
      </c>
      <c r="H47" s="2">
        <v>0</v>
      </c>
      <c r="I47" s="2">
        <v>0</v>
      </c>
      <c r="J47" s="25">
        <v>-13234098</v>
      </c>
      <c r="K47" s="33">
        <f t="shared" si="45"/>
        <v>0.18716905784893939</v>
      </c>
      <c r="L47" s="25">
        <f t="shared" si="38"/>
        <v>-13487547.943492308</v>
      </c>
      <c r="M47" s="34">
        <f t="shared" si="39"/>
        <v>-2697509.5886984617</v>
      </c>
      <c r="N47" s="148">
        <f t="shared" si="40"/>
        <v>-6743773.9717461541</v>
      </c>
      <c r="O47" s="2">
        <f t="shared" si="41"/>
        <v>-6936682.3601703746</v>
      </c>
      <c r="P47" s="2">
        <f t="shared" si="42"/>
        <v>-7151219.7738537947</v>
      </c>
      <c r="Q47" s="2">
        <f t="shared" si="43"/>
        <v>-7363589.0389488777</v>
      </c>
      <c r="R47" s="2">
        <f t="shared" si="44"/>
        <v>-7579167.7887317957</v>
      </c>
    </row>
    <row r="48" spans="2:37" hidden="1" outlineLevel="1" x14ac:dyDescent="0.25">
      <c r="B48" s="1" t="s">
        <v>15</v>
      </c>
      <c r="C48" s="31"/>
      <c r="D48" s="31"/>
      <c r="E48" s="2">
        <v>-3101466</v>
      </c>
      <c r="F48" s="2">
        <v>-16731510.57</v>
      </c>
      <c r="G48" s="2">
        <v>-19959435</v>
      </c>
      <c r="H48" s="2">
        <v>-17444404</v>
      </c>
      <c r="I48" s="2">
        <v>-15533744</v>
      </c>
      <c r="J48" s="25">
        <v>0</v>
      </c>
      <c r="K48" s="33">
        <f t="shared" si="45"/>
        <v>0</v>
      </c>
      <c r="L48" s="25">
        <f t="shared" si="38"/>
        <v>0</v>
      </c>
      <c r="M48" s="34">
        <f t="shared" si="39"/>
        <v>-14200669.206243243</v>
      </c>
      <c r="N48" s="148">
        <f t="shared" si="40"/>
        <v>-8769123.003851505</v>
      </c>
      <c r="O48" s="2">
        <f>N48*(1+$O$8)</f>
        <v>-9019967.3224265445</v>
      </c>
      <c r="P48" s="2">
        <f t="shared" si="42"/>
        <v>-9298936.4838189688</v>
      </c>
      <c r="Q48" s="2">
        <f t="shared" si="43"/>
        <v>-9575086.3393240049</v>
      </c>
      <c r="R48" s="2">
        <f t="shared" si="44"/>
        <v>-9855409.5799579807</v>
      </c>
    </row>
    <row r="49" spans="2:18" hidden="1" outlineLevel="1" x14ac:dyDescent="0.25">
      <c r="B49" s="1" t="s">
        <v>62</v>
      </c>
      <c r="C49" s="31"/>
      <c r="D49" s="31"/>
      <c r="E49" s="2">
        <v>95918581.769999981</v>
      </c>
      <c r="F49" s="2">
        <v>-6015232</v>
      </c>
      <c r="G49" s="2">
        <v>-7233334</v>
      </c>
      <c r="H49" s="2">
        <v>1208928490</v>
      </c>
      <c r="I49" s="2">
        <v>-5579571</v>
      </c>
      <c r="J49" s="25">
        <f>-294871-1962553</f>
        <v>-2257424</v>
      </c>
      <c r="K49" s="33">
        <f t="shared" si="45"/>
        <v>3.1926612848535971E-2</v>
      </c>
      <c r="L49" s="25">
        <f t="shared" si="38"/>
        <v>-2300656.5637333333</v>
      </c>
      <c r="M49" s="34">
        <f t="shared" si="39"/>
        <v>242118328.79318002</v>
      </c>
      <c r="N49" s="148">
        <f t="shared" si="40"/>
        <v>153806178.63312033</v>
      </c>
      <c r="O49" s="2">
        <f t="shared" si="41"/>
        <v>158205866.72677696</v>
      </c>
      <c r="P49" s="2">
        <f t="shared" si="42"/>
        <v>163098850.96834931</v>
      </c>
      <c r="Q49" s="2">
        <f t="shared" si="43"/>
        <v>167942385.94746447</v>
      </c>
      <c r="R49" s="2">
        <f t="shared" si="44"/>
        <v>172859120.08439326</v>
      </c>
    </row>
    <row r="50" spans="2:18" collapsed="1" x14ac:dyDescent="0.25">
      <c r="B50" s="9" t="s">
        <v>34</v>
      </c>
      <c r="C50" s="30">
        <f t="shared" ref="C50:J50" si="46">SUM(C38:C49)</f>
        <v>-875600</v>
      </c>
      <c r="D50" s="30">
        <f t="shared" si="46"/>
        <v>0</v>
      </c>
      <c r="E50" s="8">
        <f t="shared" si="46"/>
        <v>-175789421.23000002</v>
      </c>
      <c r="F50" s="8">
        <f t="shared" si="46"/>
        <v>-233028153.47</v>
      </c>
      <c r="G50" s="8">
        <f t="shared" si="46"/>
        <v>-145154612</v>
      </c>
      <c r="H50" s="8">
        <f t="shared" si="46"/>
        <v>397513807</v>
      </c>
      <c r="I50" s="8">
        <f t="shared" si="46"/>
        <v>-45306959</v>
      </c>
      <c r="J50" s="8">
        <f t="shared" si="46"/>
        <v>-70706655</v>
      </c>
      <c r="L50" s="8">
        <f>SUM(L38:L49)</f>
        <v>-72060778.092807695</v>
      </c>
      <c r="M50" s="16">
        <f>SUM(M38:M49)</f>
        <v>-19706833.536963284</v>
      </c>
      <c r="N50" s="151">
        <f>SUM(N38:N49)</f>
        <v>-19472071.25806269</v>
      </c>
      <c r="O50" s="16">
        <f t="shared" ref="O50:R50" si="47">SUM(O38:O49)</f>
        <v>-20029077.7504825</v>
      </c>
      <c r="P50" s="16">
        <f t="shared" si="47"/>
        <v>-20648536.205683738</v>
      </c>
      <c r="Q50" s="16">
        <f t="shared" si="47"/>
        <v>-21261734.317049712</v>
      </c>
      <c r="R50" s="16">
        <f t="shared" si="47"/>
        <v>-21884199.541282326</v>
      </c>
    </row>
    <row r="51" spans="2:18" ht="6.75" customHeight="1" thickBot="1" x14ac:dyDescent="0.3">
      <c r="J51" s="2"/>
      <c r="L51" s="2"/>
      <c r="M51" s="2"/>
      <c r="N51" s="156"/>
    </row>
    <row r="52" spans="2:18" ht="15.75" thickBot="1" x14ac:dyDescent="0.3">
      <c r="B52" s="122" t="s">
        <v>425</v>
      </c>
      <c r="C52" s="28">
        <f t="shared" ref="C52:J52" si="48">+C21+C33+C50</f>
        <v>-49809744</v>
      </c>
      <c r="D52" s="28">
        <f t="shared" si="48"/>
        <v>-7030050</v>
      </c>
      <c r="E52" s="2">
        <f t="shared" si="48"/>
        <v>135486877.76999998</v>
      </c>
      <c r="F52" s="12">
        <f t="shared" si="48"/>
        <v>-34838619.619999617</v>
      </c>
      <c r="G52" s="12">
        <f t="shared" si="48"/>
        <v>118540862.69999838</v>
      </c>
      <c r="H52" s="12">
        <f t="shared" si="48"/>
        <v>56772541.429999828</v>
      </c>
      <c r="I52" s="12">
        <f t="shared" si="48"/>
        <v>-300901254</v>
      </c>
      <c r="J52" s="12">
        <f t="shared" si="48"/>
        <v>1004680764</v>
      </c>
      <c r="L52" s="95">
        <f>+L21+L33+L50</f>
        <v>1057446372.8228618</v>
      </c>
      <c r="M52" s="95">
        <f>+M21+M33+M50</f>
        <v>-514712668.95279104</v>
      </c>
      <c r="N52" s="153">
        <f>+N21+N33+N50</f>
        <v>1.4901161193847656E-7</v>
      </c>
      <c r="O52" s="94">
        <f>+O21+O33+O50</f>
        <v>201407329.4189716</v>
      </c>
      <c r="P52" s="94">
        <f t="shared" ref="P52:R52" si="49">+P21+P33+P50</f>
        <v>228231615.65887114</v>
      </c>
      <c r="Q52" s="94">
        <f t="shared" si="49"/>
        <v>364741910.8458941</v>
      </c>
      <c r="R52" s="94">
        <f t="shared" si="49"/>
        <v>515936860.74436986</v>
      </c>
    </row>
    <row r="53" spans="2:18" ht="15.75" thickBot="1" x14ac:dyDescent="0.3">
      <c r="B53" s="121" t="s">
        <v>427</v>
      </c>
      <c r="F53" s="5"/>
      <c r="G53" s="5"/>
      <c r="H53" s="5"/>
      <c r="I53" s="5"/>
      <c r="L53" s="163">
        <f>+L21+L35+L50</f>
        <v>1057446372.8228618</v>
      </c>
      <c r="M53" s="164">
        <f t="shared" ref="M53:R53" si="50">+M21+M35+M50</f>
        <v>-514712668.95279104</v>
      </c>
      <c r="N53" s="166">
        <f t="shared" si="50"/>
        <v>6.2584877014160156E-7</v>
      </c>
      <c r="O53" s="164">
        <f>+O21+O35+O50</f>
        <v>-2342534.8266395926</v>
      </c>
      <c r="P53" s="164">
        <f t="shared" si="50"/>
        <v>15099386.520150632</v>
      </c>
      <c r="Q53" s="164">
        <f t="shared" si="50"/>
        <v>141836674.78879574</v>
      </c>
      <c r="R53" s="165">
        <f t="shared" si="50"/>
        <v>282815056.81874359</v>
      </c>
    </row>
    <row r="54" spans="2:18" x14ac:dyDescent="0.25">
      <c r="F54" s="10"/>
      <c r="G54" s="10"/>
      <c r="H54" s="10"/>
      <c r="I54" s="10"/>
    </row>
  </sheetData>
  <conditionalFormatting sqref="M24:M32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24:N32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14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{AE63F974-C3DD-4202-9876-FEBADE1CE77A}</x14:id>
        </ext>
      </extLst>
    </cfRule>
  </conditionalFormatting>
  <conditionalFormatting sqref="F12:R12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:K10 K36 K38:K1048576 K12:K34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{A9AEFA76-9E0B-4F3D-97D9-F441074FD43D}</x14:id>
        </ext>
      </extLst>
    </cfRule>
  </conditionalFormatting>
  <conditionalFormatting sqref="AE24:AK33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{F7581D30-FF6B-47D9-A87B-C4E4B0BBBCCF}</x14:id>
        </ext>
      </extLst>
    </cfRule>
  </conditionalFormatting>
  <conditionalFormatting sqref="K35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{964E358A-0E43-4BC9-8466-E263934EB6C6}</x14:id>
        </ext>
      </extLst>
    </cfRule>
  </conditionalFormatting>
  <conditionalFormatting sqref="K37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{A0EE64F7-B303-4329-97E9-59A68BD941BC}</x14:id>
        </ext>
      </extLst>
    </cfRule>
  </conditionalFormatting>
  <conditionalFormatting sqref="K11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{CC5D6D28-8EC9-4D14-9C0C-1D9A40CA479A}</x14:id>
        </ext>
      </extLst>
    </cfRule>
  </conditionalFormatting>
  <conditionalFormatting sqref="J15:J21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{E7BC0FBD-FE47-4BAF-B261-49861139B27D}</x14:id>
        </ext>
      </extLst>
    </cfRule>
  </conditionalFormatting>
  <conditionalFormatting sqref="J15:J21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{00D983E0-17A4-4987-A0F6-9A6E670C7518}</x14:id>
        </ext>
      </extLst>
    </cfRule>
  </conditionalFormatting>
  <conditionalFormatting sqref="J24:J33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{7F9C4AF2-7566-4929-B41E-367F347EAAA9}</x14:id>
        </ext>
      </extLst>
    </cfRule>
  </conditionalFormatting>
  <conditionalFormatting sqref="J24:J33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{A6ADE0D9-9A86-4A2E-AB0E-024C30198F8A}</x14:id>
        </ext>
      </extLst>
    </cfRule>
  </conditionalFormatting>
  <conditionalFormatting sqref="J38:J50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{3D8CF8D1-57CC-402A-9DE6-79025A9D6789}</x14:id>
        </ext>
      </extLst>
    </cfRule>
  </conditionalFormatting>
  <conditionalFormatting sqref="J38:J50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{D39F0837-D906-42B2-BFA6-F5ABFBD17C09}</x14:id>
        </ext>
      </extLst>
    </cfRule>
  </conditionalFormatting>
  <conditionalFormatting sqref="L24:L3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35:R35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3:R5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15</xdr:col>
                    <xdr:colOff>9525</xdr:colOff>
                    <xdr:row>13</xdr:row>
                    <xdr:rowOff>0</xdr:rowOff>
                  </from>
                  <to>
                    <xdr:col>15</xdr:col>
                    <xdr:colOff>1076325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Drop Down 2">
              <controlPr defaultSize="0" autoLine="0" autoPict="0">
                <anchor moveWithCells="1">
                  <from>
                    <xdr:col>16</xdr:col>
                    <xdr:colOff>19050</xdr:colOff>
                    <xdr:row>13</xdr:row>
                    <xdr:rowOff>0</xdr:rowOff>
                  </from>
                  <to>
                    <xdr:col>16</xdr:col>
                    <xdr:colOff>1085850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Drop Down 3">
              <controlPr defaultSize="0" autoLine="0" autoPict="0">
                <anchor moveWithCells="1">
                  <from>
                    <xdr:col>17</xdr:col>
                    <xdr:colOff>19050</xdr:colOff>
                    <xdr:row>13</xdr:row>
                    <xdr:rowOff>0</xdr:rowOff>
                  </from>
                  <to>
                    <xdr:col>17</xdr:col>
                    <xdr:colOff>1085850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Drop Down 4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0</xdr:rowOff>
                  </from>
                  <to>
                    <xdr:col>14</xdr:col>
                    <xdr:colOff>1076325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Drop Down 5">
              <controlPr defaultSize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Drop Down 6">
              <controlPr defaultSize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Drop Down 7">
              <controlPr defaultSize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Drop Down 8">
              <controlPr defaultSize="0" autoLine="0" autoPict="0">
                <anchor moveWithCells="1">
                  <from>
                    <xdr:col>15</xdr:col>
                    <xdr:colOff>9525</xdr:colOff>
                    <xdr:row>13</xdr:row>
                    <xdr:rowOff>0</xdr:rowOff>
                  </from>
                  <to>
                    <xdr:col>15</xdr:col>
                    <xdr:colOff>1076325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Drop Down 9">
              <controlPr defaultSize="0" autoLine="0" autoPict="0">
                <anchor moveWithCells="1">
                  <from>
                    <xdr:col>16</xdr:col>
                    <xdr:colOff>19050</xdr:colOff>
                    <xdr:row>13</xdr:row>
                    <xdr:rowOff>0</xdr:rowOff>
                  </from>
                  <to>
                    <xdr:col>16</xdr:col>
                    <xdr:colOff>1085850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Drop Down 10">
              <controlPr defaultSize="0" autoLine="0" autoPict="0">
                <anchor moveWithCells="1">
                  <from>
                    <xdr:col>17</xdr:col>
                    <xdr:colOff>19050</xdr:colOff>
                    <xdr:row>13</xdr:row>
                    <xdr:rowOff>0</xdr:rowOff>
                  </from>
                  <to>
                    <xdr:col>17</xdr:col>
                    <xdr:colOff>1085850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Drop Down 11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0</xdr:rowOff>
                  </from>
                  <to>
                    <xdr:col>14</xdr:col>
                    <xdr:colOff>1076325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Drop Down 12">
              <controlPr defaultSize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Drop Down 13">
              <controlPr defaultSize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Drop Down 14">
              <controlPr defaultSize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63F974-C3DD-4202-9876-FEBADE1CE7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N14</xm:sqref>
        </x14:conditionalFormatting>
        <x14:conditionalFormatting xmlns:xm="http://schemas.microsoft.com/office/excel/2006/main">
          <x14:cfRule type="dataBar" id="{A9AEFA76-9E0B-4F3D-97D9-F441074FD4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K1:K10 K36 K38:K1048576 K12:K34</xm:sqref>
        </x14:conditionalFormatting>
        <x14:conditionalFormatting xmlns:xm="http://schemas.microsoft.com/office/excel/2006/main">
          <x14:cfRule type="dataBar" id="{F7581D30-FF6B-47D9-A87B-C4E4B0BBBC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AE24:AK33</xm:sqref>
        </x14:conditionalFormatting>
        <x14:conditionalFormatting xmlns:xm="http://schemas.microsoft.com/office/excel/2006/main">
          <x14:cfRule type="dataBar" id="{964E358A-0E43-4BC9-8466-E263934EB6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A0EE64F7-B303-4329-97E9-59A68BD941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K37</xm:sqref>
        </x14:conditionalFormatting>
        <x14:conditionalFormatting xmlns:xm="http://schemas.microsoft.com/office/excel/2006/main">
          <x14:cfRule type="dataBar" id="{CC5D6D28-8EC9-4D14-9C0C-1D9A40CA47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E7BC0FBD-FE47-4BAF-B261-49861139B2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J15:J21</xm:sqref>
        </x14:conditionalFormatting>
        <x14:conditionalFormatting xmlns:xm="http://schemas.microsoft.com/office/excel/2006/main">
          <x14:cfRule type="dataBar" id="{00D983E0-17A4-4987-A0F6-9A6E670C75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J15:J21</xm:sqref>
        </x14:conditionalFormatting>
        <x14:conditionalFormatting xmlns:xm="http://schemas.microsoft.com/office/excel/2006/main">
          <x14:cfRule type="dataBar" id="{7F9C4AF2-7566-4929-B41E-367F347EAA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J24:J33</xm:sqref>
        </x14:conditionalFormatting>
        <x14:conditionalFormatting xmlns:xm="http://schemas.microsoft.com/office/excel/2006/main">
          <x14:cfRule type="dataBar" id="{A6ADE0D9-9A86-4A2E-AB0E-024C30198F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J24:J33</xm:sqref>
        </x14:conditionalFormatting>
        <x14:conditionalFormatting xmlns:xm="http://schemas.microsoft.com/office/excel/2006/main">
          <x14:cfRule type="dataBar" id="{3D8CF8D1-57CC-402A-9DE6-79025A9D67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J38:J50</xm:sqref>
        </x14:conditionalFormatting>
        <x14:conditionalFormatting xmlns:xm="http://schemas.microsoft.com/office/excel/2006/main">
          <x14:cfRule type="dataBar" id="{D39F0837-D906-42B2-BFA6-F5ABFBD17C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J38:J50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E939-A77E-4C08-9F00-FF0513D898CB}">
  <sheetPr codeName="Hoja9"/>
  <dimension ref="B1:AG58"/>
  <sheetViews>
    <sheetView showGridLines="0" zoomScale="77" zoomScaleNormal="77" workbookViewId="0">
      <selection activeCell="N18" sqref="N18"/>
    </sheetView>
  </sheetViews>
  <sheetFormatPr baseColWidth="10" defaultRowHeight="15" x14ac:dyDescent="0.25"/>
  <cols>
    <col min="1" max="1" width="3.28515625" customWidth="1"/>
    <col min="2" max="2" width="37.85546875" customWidth="1"/>
    <col min="3" max="3" width="14.85546875" bestFit="1" customWidth="1"/>
    <col min="4" max="4" width="15.140625" bestFit="1" customWidth="1"/>
    <col min="5" max="5" width="14.85546875" customWidth="1"/>
    <col min="6" max="6" width="15.140625" bestFit="1" customWidth="1"/>
    <col min="7" max="7" width="14.85546875" customWidth="1"/>
    <col min="8" max="8" width="15.140625" bestFit="1" customWidth="1"/>
    <col min="9" max="9" width="14.85546875" bestFit="1" customWidth="1"/>
    <col min="10" max="10" width="15.140625" bestFit="1" customWidth="1"/>
    <col min="11" max="11" width="14.85546875" bestFit="1" customWidth="1"/>
    <col min="12" max="12" width="15.140625" bestFit="1" customWidth="1"/>
    <col min="13" max="13" width="14.85546875" bestFit="1" customWidth="1"/>
    <col min="14" max="14" width="15.140625" bestFit="1" customWidth="1"/>
    <col min="15" max="15" width="14.85546875" bestFit="1" customWidth="1"/>
    <col min="16" max="16" width="7.42578125" customWidth="1"/>
    <col min="17" max="17" width="14.85546875" bestFit="1" customWidth="1"/>
    <col min="18" max="18" width="7.42578125" customWidth="1"/>
    <col min="19" max="19" width="14.85546875" bestFit="1" customWidth="1"/>
    <col min="20" max="20" width="7.42578125" customWidth="1"/>
    <col min="21" max="21" width="14.85546875" bestFit="1" customWidth="1"/>
    <col min="23" max="23" width="14.85546875" bestFit="1" customWidth="1"/>
    <col min="25" max="25" width="14.85546875" bestFit="1" customWidth="1"/>
    <col min="27" max="27" width="14.85546875" bestFit="1" customWidth="1"/>
  </cols>
  <sheetData>
    <row r="1" spans="2:14" ht="14.25" customHeight="1" x14ac:dyDescent="0.25"/>
    <row r="2" spans="2:14" s="55" customFormat="1" ht="7.5" customHeight="1" x14ac:dyDescent="0.25"/>
    <row r="3" spans="2:14" s="55" customFormat="1" ht="26.25" customHeight="1" x14ac:dyDescent="0.25">
      <c r="B3" s="104" t="s">
        <v>244</v>
      </c>
    </row>
    <row r="4" spans="2:14" s="55" customFormat="1" ht="7.5" customHeight="1" x14ac:dyDescent="0.25"/>
    <row r="6" spans="2:14" s="102" customFormat="1" ht="26.25" customHeight="1" x14ac:dyDescent="0.35">
      <c r="B6" s="101" t="s">
        <v>233</v>
      </c>
      <c r="D6" s="103"/>
    </row>
    <row r="8" spans="2:14" x14ac:dyDescent="0.25">
      <c r="B8" s="37">
        <v>2014</v>
      </c>
      <c r="C8" s="37">
        <v>2015</v>
      </c>
      <c r="D8" s="37">
        <v>2016</v>
      </c>
      <c r="E8" s="37">
        <v>2017</v>
      </c>
      <c r="F8" s="37">
        <v>2018</v>
      </c>
      <c r="G8" s="37">
        <v>2019</v>
      </c>
      <c r="H8" s="84" t="s">
        <v>241</v>
      </c>
      <c r="I8" s="85" t="s">
        <v>240</v>
      </c>
      <c r="J8" s="85" t="s">
        <v>242</v>
      </c>
      <c r="K8" s="88">
        <v>2021</v>
      </c>
      <c r="L8" s="88">
        <v>2022</v>
      </c>
      <c r="M8" s="88">
        <v>2023</v>
      </c>
      <c r="N8" s="88">
        <v>2024</v>
      </c>
    </row>
    <row r="9" spans="2:14" x14ac:dyDescent="0.25">
      <c r="B9" s="8">
        <f>'Proyección y Escenarios'!E21</f>
        <v>1720469685</v>
      </c>
      <c r="C9" s="8">
        <f>'Proyección y Escenarios'!F21</f>
        <v>2218444300.8500004</v>
      </c>
      <c r="D9" s="8">
        <f>'Proyección y Escenarios'!G21</f>
        <v>3126057775.6999984</v>
      </c>
      <c r="E9" s="8">
        <f>'Proyección y Escenarios'!H21</f>
        <v>3205347693.4299998</v>
      </c>
      <c r="F9" s="8">
        <f>'Proyección y Escenarios'!I21</f>
        <v>3629386402</v>
      </c>
      <c r="G9" s="8">
        <f>'Proyección y Escenarios'!J21</f>
        <v>3693615260</v>
      </c>
      <c r="H9" s="8">
        <f>'Proyección y Escenarios'!L21</f>
        <v>3838225032.8331795</v>
      </c>
      <c r="I9" s="8">
        <f>'Proyección y Escenarios'!M21</f>
        <v>2595872481.8801651</v>
      </c>
      <c r="J9" s="8">
        <f>'Proyección y Escenarios'!N21</f>
        <v>3370728927.3945889</v>
      </c>
      <c r="K9" s="8">
        <f>'Proyección y Escenarios'!O21</f>
        <v>3534564573.4223304</v>
      </c>
      <c r="L9" s="8">
        <f>'Proyección y Escenarios'!P21</f>
        <v>3714572725.9932995</v>
      </c>
      <c r="M9" s="8">
        <f>'Proyección y Escenarios'!Q21</f>
        <v>3899175582.610702</v>
      </c>
      <c r="N9" s="8">
        <f>'Proyección y Escenarios'!R21</f>
        <v>4091312585.5614052</v>
      </c>
    </row>
    <row r="10" spans="2:14" x14ac:dyDescent="0.25">
      <c r="C10" s="23">
        <f t="shared" ref="C10:G10" si="0">C9/B9-1</f>
        <v>0.28944108704246085</v>
      </c>
      <c r="D10" s="23">
        <f t="shared" si="0"/>
        <v>0.40912159683353089</v>
      </c>
      <c r="E10" s="23">
        <f t="shared" si="0"/>
        <v>2.5364188194585191E-2</v>
      </c>
      <c r="F10" s="23">
        <f t="shared" si="0"/>
        <v>0.13229101773862229</v>
      </c>
      <c r="G10" s="23">
        <f t="shared" si="0"/>
        <v>1.7696891674197746E-2</v>
      </c>
      <c r="H10" s="23">
        <f>H9/G9-1</f>
        <v>3.9151282051282044E-2</v>
      </c>
      <c r="I10" s="23">
        <f>I9/G9-1</f>
        <v>-0.29720008740700155</v>
      </c>
      <c r="J10" s="23">
        <f>J9/G9-1</f>
        <v>-8.7417424359842788E-2</v>
      </c>
      <c r="K10" s="23">
        <f>K9/J9-1</f>
        <v>4.8605405405405477E-2</v>
      </c>
      <c r="L10" s="23">
        <f t="shared" ref="L10:N10" si="1">L9/K9-1</f>
        <v>5.0927956989247125E-2</v>
      </c>
      <c r="M10" s="23">
        <f t="shared" si="1"/>
        <v>4.9696928889187086E-2</v>
      </c>
      <c r="N10" s="23">
        <f t="shared" si="1"/>
        <v>4.9276314667024312E-2</v>
      </c>
    </row>
    <row r="45" spans="2:33" s="102" customFormat="1" ht="26.25" customHeight="1" x14ac:dyDescent="0.35">
      <c r="B45" s="101" t="s">
        <v>235</v>
      </c>
      <c r="D45" s="103"/>
    </row>
    <row r="47" spans="2:33" x14ac:dyDescent="0.25">
      <c r="B47" s="107" t="s">
        <v>32</v>
      </c>
      <c r="C47" s="88" t="s">
        <v>2</v>
      </c>
      <c r="D47" s="99" t="s">
        <v>59</v>
      </c>
      <c r="E47" s="88" t="s">
        <v>21</v>
      </c>
      <c r="F47" s="99" t="s">
        <v>59</v>
      </c>
      <c r="G47" s="88" t="s">
        <v>1</v>
      </c>
      <c r="H47" s="99" t="s">
        <v>59</v>
      </c>
      <c r="I47" s="88" t="s">
        <v>22</v>
      </c>
      <c r="J47" s="99" t="s">
        <v>59</v>
      </c>
      <c r="K47" s="88" t="s">
        <v>23</v>
      </c>
      <c r="L47" s="99" t="s">
        <v>59</v>
      </c>
      <c r="M47" s="88" t="s">
        <v>66</v>
      </c>
      <c r="N47" s="99" t="s">
        <v>59</v>
      </c>
      <c r="O47" s="99" t="s">
        <v>237</v>
      </c>
      <c r="P47" s="99" t="s">
        <v>59</v>
      </c>
      <c r="Q47" s="99" t="s">
        <v>238</v>
      </c>
      <c r="R47" s="106" t="s">
        <v>59</v>
      </c>
      <c r="S47" s="99" t="s">
        <v>239</v>
      </c>
      <c r="T47" s="106" t="s">
        <v>59</v>
      </c>
      <c r="U47" s="88" t="s">
        <v>68</v>
      </c>
      <c r="V47" s="106" t="s">
        <v>59</v>
      </c>
      <c r="W47" s="88" t="s">
        <v>69</v>
      </c>
      <c r="X47" s="106" t="s">
        <v>59</v>
      </c>
      <c r="Y47" s="88" t="s">
        <v>70</v>
      </c>
      <c r="Z47" s="106" t="s">
        <v>59</v>
      </c>
      <c r="AA47" s="88" t="s">
        <v>71</v>
      </c>
      <c r="AB47" s="106" t="s">
        <v>59</v>
      </c>
    </row>
    <row r="48" spans="2:33" x14ac:dyDescent="0.25">
      <c r="B48" s="14" t="s">
        <v>41</v>
      </c>
      <c r="C48" s="105">
        <f>'Proyección y Escenarios'!E24</f>
        <v>0</v>
      </c>
      <c r="D48" s="33">
        <f>+C48/C$57</f>
        <v>0</v>
      </c>
      <c r="E48" s="105">
        <f>'Proyección y Escenarios'!F24</f>
        <v>-13570000</v>
      </c>
      <c r="F48" s="33">
        <f>+E48/E$57</f>
        <v>6.716974622042805E-3</v>
      </c>
      <c r="G48" s="105">
        <f>'Proyección y Escenarios'!G24</f>
        <v>0</v>
      </c>
      <c r="H48" s="33">
        <f>+G48/G$57</f>
        <v>0</v>
      </c>
      <c r="I48" s="105">
        <f>'Proyección y Escenarios'!H24</f>
        <v>-37279575</v>
      </c>
      <c r="J48" s="33">
        <f>+I48/I$57</f>
        <v>1.0512870779900815E-2</v>
      </c>
      <c r="K48" s="105">
        <f>'Proyección y Escenarios'!I24</f>
        <v>-33373550</v>
      </c>
      <c r="L48" s="33">
        <f>+K48/K$57</f>
        <v>8.5904030426125957E-3</v>
      </c>
      <c r="M48" s="105">
        <f>'Proyección y Escenarios'!J24</f>
        <v>-2600000</v>
      </c>
      <c r="N48" s="33">
        <f>+M48/M$57</f>
        <v>9.9303809977322756E-4</v>
      </c>
      <c r="O48" s="105">
        <f>'Proyección y Escenarios'!$L24</f>
        <v>-2649793.3333333335</v>
      </c>
      <c r="P48" s="33">
        <f t="shared" ref="P48:P57" si="2">+O48/O$57</f>
        <v>9.7824633234138672E-4</v>
      </c>
      <c r="Q48" s="105">
        <f>'Proyección y Escenarios'!M24</f>
        <v>-17697179.831089742</v>
      </c>
      <c r="R48" s="33">
        <f t="shared" ref="R48:R57" si="3">+Q48/Q$57</f>
        <v>5.7256151858387774E-3</v>
      </c>
      <c r="S48" s="105">
        <f>'Proyección y Escenarios'!N24</f>
        <v>-15436133.596354166</v>
      </c>
      <c r="T48" s="33">
        <f t="shared" ref="T48:T57" si="4">+S48/S$57</f>
        <v>4.8893359981199468E-3</v>
      </c>
      <c r="U48" s="105">
        <f>'Proyección y Escenarios'!O24</f>
        <v>-15877690.455769876</v>
      </c>
      <c r="V48" s="33">
        <f t="shared" ref="V48:V57" si="5">+U48/U$57</f>
        <v>4.792356244318622E-3</v>
      </c>
      <c r="W48" s="105">
        <f>'Proyección y Escenarios'!P24</f>
        <v>-16368754.98327451</v>
      </c>
      <c r="X48" s="33">
        <f t="shared" ref="X48:X57" si="6">+W48/W$57</f>
        <v>4.7230833760231964E-3</v>
      </c>
      <c r="Y48" s="105">
        <f>'Proyección y Escenarios'!Q24</f>
        <v>-16854856.736017335</v>
      </c>
      <c r="Z48" s="33">
        <f t="shared" ref="Z48:Z57" si="7">+Y48/Y$57</f>
        <v>4.6501170696191599E-3</v>
      </c>
      <c r="AA48" s="105">
        <f>'Proyección y Escenarios'!R24</f>
        <v>-17348304.825488593</v>
      </c>
      <c r="AB48" s="33">
        <f t="shared" ref="AB48:AB57" si="8">+AA48/AA$57</f>
        <v>4.5764976202423034E-3</v>
      </c>
      <c r="AC48" s="23"/>
      <c r="AD48" s="40"/>
      <c r="AE48" s="40"/>
      <c r="AF48" s="40"/>
      <c r="AG48" s="40"/>
    </row>
    <row r="49" spans="2:33" x14ac:dyDescent="0.25">
      <c r="B49" s="14" t="s">
        <v>37</v>
      </c>
      <c r="C49" s="105">
        <f>'Proyección y Escenarios'!E25</f>
        <v>-22650000</v>
      </c>
      <c r="D49" s="33">
        <f t="shared" ref="D49:F57" si="9">+C49/C$57</f>
        <v>1.6073024628856725E-2</v>
      </c>
      <c r="E49" s="105">
        <f>'Proyección y Escenarios'!F25</f>
        <v>0</v>
      </c>
      <c r="F49" s="33">
        <f t="shared" si="9"/>
        <v>0</v>
      </c>
      <c r="G49" s="105">
        <f>'Proyección y Escenarios'!G25</f>
        <v>0</v>
      </c>
      <c r="H49" s="33">
        <f t="shared" ref="H49" si="10">+G49/G$57</f>
        <v>0</v>
      </c>
      <c r="I49" s="105">
        <f>'Proyección y Escenarios'!H25</f>
        <v>0</v>
      </c>
      <c r="J49" s="33">
        <f t="shared" ref="J49" si="11">+I49/I$57</f>
        <v>0</v>
      </c>
      <c r="K49" s="105">
        <f>'Proyección y Escenarios'!I25</f>
        <v>0</v>
      </c>
      <c r="L49" s="33">
        <f t="shared" ref="L49" si="12">+K49/K$57</f>
        <v>0</v>
      </c>
      <c r="M49" s="105">
        <f>'Proyección y Escenarios'!J25</f>
        <v>0</v>
      </c>
      <c r="N49" s="33">
        <f t="shared" ref="N49:N57" si="13">+M49/$M$57</f>
        <v>0</v>
      </c>
      <c r="O49" s="105">
        <f>'Proyección y Escenarios'!$L25</f>
        <v>0</v>
      </c>
      <c r="P49" s="33">
        <f t="shared" si="2"/>
        <v>0</v>
      </c>
      <c r="Q49" s="105">
        <f>'Proyección y Escenarios'!M25</f>
        <v>0</v>
      </c>
      <c r="R49" s="33">
        <f t="shared" si="3"/>
        <v>0</v>
      </c>
      <c r="S49" s="105">
        <f>'Proyección y Escenarios'!N25</f>
        <v>0</v>
      </c>
      <c r="T49" s="33">
        <f t="shared" si="4"/>
        <v>0</v>
      </c>
      <c r="U49" s="105">
        <f>'Proyección y Escenarios'!O25</f>
        <v>0</v>
      </c>
      <c r="V49" s="33">
        <f t="shared" si="5"/>
        <v>0</v>
      </c>
      <c r="W49" s="105">
        <f>'Proyección y Escenarios'!P25</f>
        <v>0</v>
      </c>
      <c r="X49" s="33">
        <f t="shared" si="6"/>
        <v>0</v>
      </c>
      <c r="Y49" s="105">
        <f>'Proyección y Escenarios'!Q25</f>
        <v>0</v>
      </c>
      <c r="Z49" s="33">
        <f t="shared" si="7"/>
        <v>0</v>
      </c>
      <c r="AA49" s="105">
        <f>'Proyección y Escenarios'!R25</f>
        <v>0</v>
      </c>
      <c r="AB49" s="33">
        <f t="shared" si="8"/>
        <v>0</v>
      </c>
      <c r="AC49" s="23"/>
      <c r="AD49" s="40"/>
      <c r="AE49" s="40"/>
      <c r="AF49" s="40"/>
      <c r="AG49" s="40"/>
    </row>
    <row r="50" spans="2:33" x14ac:dyDescent="0.25">
      <c r="B50" s="14" t="s">
        <v>42</v>
      </c>
      <c r="C50" s="105">
        <f>'Proyección y Escenarios'!E26</f>
        <v>-1102339180</v>
      </c>
      <c r="D50" s="33">
        <f t="shared" si="9"/>
        <v>0.78224833507698566</v>
      </c>
      <c r="E50" s="105">
        <f>'Proyección y Escenarios'!F26</f>
        <v>-1640432699</v>
      </c>
      <c r="F50" s="33">
        <f t="shared" si="9"/>
        <v>0.81199298514017559</v>
      </c>
      <c r="G50" s="105">
        <f>'Proyección y Escenarios'!G26</f>
        <v>-2245015412</v>
      </c>
      <c r="H50" s="33">
        <f t="shared" ref="H50" si="14">+G50/G$57</f>
        <v>0.78432258949738032</v>
      </c>
      <c r="I50" s="105">
        <f>'Proyección y Escenarios'!H26</f>
        <v>-2776649620</v>
      </c>
      <c r="J50" s="33">
        <f t="shared" ref="J50" si="15">+I50/I$57</f>
        <v>0.78301747420995815</v>
      </c>
      <c r="K50" s="105">
        <f>'Proyección y Escenarios'!I26</f>
        <v>-3146106920</v>
      </c>
      <c r="L50" s="33">
        <f t="shared" ref="L50" si="16">+K50/K$57</f>
        <v>0.80981275465009084</v>
      </c>
      <c r="M50" s="105">
        <f>'Proyección y Escenarios'!J26</f>
        <v>-2017381053</v>
      </c>
      <c r="N50" s="97">
        <f t="shared" si="13"/>
        <v>0.77051394130370487</v>
      </c>
      <c r="O50" s="105">
        <f>'Proyección y Escenarios'!$L26</f>
        <v>-2096364107.6109154</v>
      </c>
      <c r="P50" s="33">
        <f t="shared" si="2"/>
        <v>0.77393224359226831</v>
      </c>
      <c r="Q50" s="105">
        <f>'Proyección y Escenarios'!M26</f>
        <v>-2457714509.0637827</v>
      </c>
      <c r="R50" s="33">
        <f t="shared" si="3"/>
        <v>0.79515084605914743</v>
      </c>
      <c r="S50" s="105">
        <f>'Proyección y Escenarios'!N26</f>
        <v>-2489742511.0294113</v>
      </c>
      <c r="T50" s="33">
        <f t="shared" si="4"/>
        <v>0.78861637269716389</v>
      </c>
      <c r="U50" s="105">
        <f>'Proyección y Escenarios'!O26</f>
        <v>-2626678349.1360288</v>
      </c>
      <c r="V50" s="33">
        <f t="shared" si="5"/>
        <v>0.79280915718596623</v>
      </c>
      <c r="W50" s="105">
        <f>'Proyección y Escenarios'!P26</f>
        <v>-2758012266.5928302</v>
      </c>
      <c r="X50" s="33">
        <f t="shared" si="6"/>
        <v>0.79580407309675449</v>
      </c>
      <c r="Y50" s="105">
        <f>'Proyección y Escenarios'!Q26</f>
        <v>-2895912879.922472</v>
      </c>
      <c r="Z50" s="33">
        <f t="shared" si="7"/>
        <v>0.79895866965639084</v>
      </c>
      <c r="AA50" s="105">
        <f>'Proyección y Escenarios'!R26</f>
        <v>-3040708523.9185958</v>
      </c>
      <c r="AB50" s="33">
        <f t="shared" si="8"/>
        <v>0.80214150394213057</v>
      </c>
      <c r="AC50" s="23"/>
      <c r="AD50" s="40"/>
      <c r="AE50" s="40"/>
      <c r="AF50" s="40"/>
      <c r="AG50" s="40"/>
    </row>
    <row r="51" spans="2:33" x14ac:dyDescent="0.25">
      <c r="B51" s="14" t="s">
        <v>38</v>
      </c>
      <c r="C51" s="105">
        <f>'Proyección y Escenarios'!E27</f>
        <v>-170770353</v>
      </c>
      <c r="D51" s="33">
        <f t="shared" si="9"/>
        <v>0.12118305031556542</v>
      </c>
      <c r="E51" s="105">
        <f>'Proyección y Escenarios'!F27</f>
        <v>-212031878</v>
      </c>
      <c r="F51" s="33">
        <f t="shared" si="9"/>
        <v>0.10495303932130259</v>
      </c>
      <c r="G51" s="105">
        <f>'Proyección y Escenarios'!G27</f>
        <v>-229534692</v>
      </c>
      <c r="H51" s="33">
        <f t="shared" ref="H51" si="17">+G51/G$57</f>
        <v>8.0190649492487151E-2</v>
      </c>
      <c r="I51" s="105">
        <f>'Proyección y Escenarios'!H27</f>
        <v>-200054334</v>
      </c>
      <c r="J51" s="33">
        <f t="shared" ref="J51" si="18">+I51/I$57</f>
        <v>5.6415486558017848E-2</v>
      </c>
      <c r="K51" s="105">
        <f>'Proyección y Escenarios'!I27</f>
        <v>-159927043</v>
      </c>
      <c r="L51" s="33">
        <f t="shared" ref="L51" si="19">+K51/K$57</f>
        <v>4.1165466568082669E-2</v>
      </c>
      <c r="M51" s="105">
        <f>'Proyección y Escenarios'!J27</f>
        <v>-89313366</v>
      </c>
      <c r="N51" s="33">
        <f t="shared" si="13"/>
        <v>3.4112144329611842E-2</v>
      </c>
      <c r="O51" s="105">
        <f>'Proyección y Escenarios'!$L27</f>
        <v>-91023831.463215381</v>
      </c>
      <c r="P51" s="33">
        <f t="shared" si="2"/>
        <v>3.3604027968678424E-2</v>
      </c>
      <c r="Q51" s="105">
        <f>'Proyección y Escenarios'!M27</f>
        <v>-181584489.85476768</v>
      </c>
      <c r="R51" s="33">
        <f t="shared" si="3"/>
        <v>5.8748508098378997E-2</v>
      </c>
      <c r="S51" s="105">
        <f>'Proyección y Escenarios'!N27</f>
        <v>-142400690.57555968</v>
      </c>
      <c r="T51" s="33">
        <f t="shared" si="4"/>
        <v>4.510487151735125E-2</v>
      </c>
      <c r="U51" s="105">
        <f>'Proyección y Escenarios'!O27</f>
        <v>-146474120.05948326</v>
      </c>
      <c r="V51" s="33">
        <f t="shared" si="5"/>
        <v>4.4210218473118838E-2</v>
      </c>
      <c r="W51" s="105">
        <f>'Proyección y Escenarios'!P27</f>
        <v>-151004265.34472081</v>
      </c>
      <c r="X51" s="33">
        <f t="shared" si="6"/>
        <v>4.3571165680407309E-2</v>
      </c>
      <c r="Y51" s="105">
        <f>'Proyección y Escenarios'!Q27</f>
        <v>-155488628.27462688</v>
      </c>
      <c r="Z51" s="33">
        <f t="shared" si="7"/>
        <v>4.2898040356904234E-2</v>
      </c>
      <c r="AA51" s="105">
        <f>'Proyección y Escenarios'!R27</f>
        <v>-160040762.28313884</v>
      </c>
      <c r="AB51" s="33">
        <f t="shared" si="8"/>
        <v>4.2218889689697461E-2</v>
      </c>
      <c r="AC51" s="23"/>
      <c r="AD51" s="40"/>
      <c r="AE51" s="40"/>
      <c r="AF51" s="40"/>
      <c r="AG51" s="40"/>
    </row>
    <row r="52" spans="2:33" x14ac:dyDescent="0.25">
      <c r="B52" s="14" t="s">
        <v>39</v>
      </c>
      <c r="C52" s="105">
        <f>'Proyección y Escenarios'!E28</f>
        <v>-82940000</v>
      </c>
      <c r="D52" s="33">
        <f t="shared" si="9"/>
        <v>5.8856364799884181E-2</v>
      </c>
      <c r="E52" s="105">
        <f>'Proyección y Escenarios'!F28</f>
        <v>-98351760</v>
      </c>
      <c r="F52" s="33">
        <f t="shared" si="9"/>
        <v>4.868285010709246E-2</v>
      </c>
      <c r="G52" s="105">
        <f>'Proyección y Escenarios'!G28</f>
        <v>-362956995</v>
      </c>
      <c r="H52" s="33">
        <f t="shared" ref="H52" si="20">+G52/G$57</f>
        <v>0.12680330329713912</v>
      </c>
      <c r="I52" s="105">
        <f>'Proyección y Escenarios'!H28</f>
        <v>-456326150</v>
      </c>
      <c r="J52" s="33">
        <f t="shared" ref="J52" si="21">+I52/I$57</f>
        <v>0.12868434922982991</v>
      </c>
      <c r="K52" s="105">
        <f>'Proyección y Escenarios'!I28</f>
        <v>-491955892</v>
      </c>
      <c r="L52" s="33">
        <f t="shared" ref="L52" si="22">+K52/K$57</f>
        <v>0.12663020240483835</v>
      </c>
      <c r="M52" s="105">
        <f>'Proyección y Escenarios'!J28</f>
        <v>-457763325</v>
      </c>
      <c r="N52" s="33">
        <f t="shared" si="13"/>
        <v>0.17483708553995167</v>
      </c>
      <c r="O52" s="105">
        <f>'Proyección y Escenarios'!$L28</f>
        <v>-466530079.54980767</v>
      </c>
      <c r="P52" s="33">
        <f t="shared" si="2"/>
        <v>0.1722328052929416</v>
      </c>
      <c r="Q52" s="105">
        <f>'Proyección y Escenarios'!M28</f>
        <v>-380623269.49600917</v>
      </c>
      <c r="R52" s="33">
        <f t="shared" si="3"/>
        <v>0.12314404852695449</v>
      </c>
      <c r="S52" s="105">
        <f>'Proyección y Escenarios'!N28</f>
        <v>-454970417.92201883</v>
      </c>
      <c r="T52" s="33">
        <f t="shared" si="4"/>
        <v>0.14411013150023558</v>
      </c>
      <c r="U52" s="105">
        <f>'Proyección y Escenarios'!O28</f>
        <v>-467985031.17414492</v>
      </c>
      <c r="V52" s="33">
        <f t="shared" si="5"/>
        <v>0.14125171369492553</v>
      </c>
      <c r="W52" s="105">
        <f>'Proyección y Escenarios'!P28</f>
        <v>-482458852.08991045</v>
      </c>
      <c r="X52" s="33">
        <f t="shared" si="6"/>
        <v>0.13920993907291326</v>
      </c>
      <c r="Y52" s="105">
        <f>'Proyección y Escenarios'!Q28</f>
        <v>-496786398.31238323</v>
      </c>
      <c r="Z52" s="33">
        <f t="shared" si="7"/>
        <v>0.13705930266440802</v>
      </c>
      <c r="AA52" s="105">
        <f>'Proyección y Escenarios'!R28</f>
        <v>-511330473.23167425</v>
      </c>
      <c r="AB52" s="33">
        <f t="shared" si="8"/>
        <v>0.13488941527381895</v>
      </c>
      <c r="AC52" s="23"/>
      <c r="AD52" s="40"/>
      <c r="AE52" s="40"/>
      <c r="AF52" s="40"/>
      <c r="AG52" s="40"/>
    </row>
    <row r="53" spans="2:33" x14ac:dyDescent="0.25">
      <c r="B53" s="1" t="s">
        <v>40</v>
      </c>
      <c r="C53" s="105">
        <f>'Proyección y Escenarios'!E29</f>
        <v>0</v>
      </c>
      <c r="D53" s="33">
        <f t="shared" si="9"/>
        <v>0</v>
      </c>
      <c r="E53" s="105">
        <f>'Proyección y Escenarios'!F29</f>
        <v>-55868430</v>
      </c>
      <c r="F53" s="33">
        <f t="shared" si="9"/>
        <v>2.7654150809386508E-2</v>
      </c>
      <c r="G53" s="105">
        <f>'Proyección y Escenarios'!G29</f>
        <v>-1910349</v>
      </c>
      <c r="H53" s="33">
        <f t="shared" ref="H53" si="23">+G53/G$57</f>
        <v>6.6740293474819626E-4</v>
      </c>
      <c r="I53" s="105">
        <f>'Proyección y Escenarios'!H29</f>
        <v>-51917400</v>
      </c>
      <c r="J53" s="33">
        <f t="shared" ref="J53" si="24">+I53/I$57</f>
        <v>1.4640749456731269E-2</v>
      </c>
      <c r="K53" s="105">
        <f>'Proyección y Escenarios'!I29</f>
        <v>-6249936</v>
      </c>
      <c r="L53" s="33">
        <f t="shared" ref="L53" si="25">+K53/K$57</f>
        <v>1.6087431283316877E-3</v>
      </c>
      <c r="M53" s="105">
        <f>'Proyección y Escenarios'!J29</f>
        <v>0</v>
      </c>
      <c r="N53" s="33">
        <f t="shared" si="13"/>
        <v>0</v>
      </c>
      <c r="O53" s="105">
        <f>'Proyección y Escenarios'!$L29</f>
        <v>0</v>
      </c>
      <c r="P53" s="33">
        <f t="shared" si="2"/>
        <v>0</v>
      </c>
      <c r="Q53" s="105">
        <f>'Proyección y Escenarios'!M29</f>
        <v>-23633326.350223076</v>
      </c>
      <c r="R53" s="33">
        <f t="shared" si="3"/>
        <v>7.6461522985150467E-3</v>
      </c>
      <c r="S53" s="105">
        <f>'Proyección y Escenarios'!N29</f>
        <v>-11213171.746095</v>
      </c>
      <c r="T53" s="33">
        <f t="shared" si="4"/>
        <v>3.5517290601989088E-3</v>
      </c>
      <c r="U53" s="105">
        <f>'Proyección y Escenarios'!O29</f>
        <v>-11533929.069772486</v>
      </c>
      <c r="V53" s="33">
        <f t="shared" si="5"/>
        <v>3.4812806782592038E-3</v>
      </c>
      <c r="W53" s="105">
        <f>'Proyección y Escenarios'!P29</f>
        <v>-11890649.931959439</v>
      </c>
      <c r="X53" s="33">
        <f t="shared" si="6"/>
        <v>3.4309592318495482E-3</v>
      </c>
      <c r="Y53" s="105">
        <f>'Proyección y Escenarios'!Q29</f>
        <v>-12243765.717435053</v>
      </c>
      <c r="Z53" s="33">
        <f t="shared" si="7"/>
        <v>3.3779547848305164E-3</v>
      </c>
      <c r="AA53" s="105">
        <f>'Proyección y Escenarios'!R29</f>
        <v>-12602218.055288006</v>
      </c>
      <c r="AB53" s="33">
        <f t="shared" si="8"/>
        <v>3.324475879341475E-3</v>
      </c>
      <c r="AC53" s="23"/>
      <c r="AD53" s="40"/>
      <c r="AE53" s="40"/>
      <c r="AF53" s="40"/>
      <c r="AG53" s="40"/>
    </row>
    <row r="54" spans="2:33" x14ac:dyDescent="0.25">
      <c r="B54" s="1" t="s">
        <v>43</v>
      </c>
      <c r="C54" s="105">
        <f>'Proyección y Escenarios'!E30</f>
        <v>-30493853</v>
      </c>
      <c r="D54" s="33">
        <f t="shared" si="9"/>
        <v>2.1639225178708012E-2</v>
      </c>
      <c r="E54" s="105">
        <f>'Proyección y Escenarios'!F30</f>
        <v>0</v>
      </c>
      <c r="F54" s="33">
        <f t="shared" si="9"/>
        <v>0</v>
      </c>
      <c r="G54" s="105">
        <f>'Proyección y Escenarios'!G30</f>
        <v>-22944853</v>
      </c>
      <c r="H54" s="33">
        <f t="shared" ref="H54" si="26">+G54/G$57</f>
        <v>8.0160547782452077E-3</v>
      </c>
      <c r="I54" s="105">
        <f>'Proyección y Escenarios'!H30</f>
        <v>-23861880</v>
      </c>
      <c r="J54" s="33">
        <f t="shared" ref="J54" si="27">+I54/I$57</f>
        <v>6.7290697655619644E-3</v>
      </c>
      <c r="K54" s="105">
        <f>'Proyección y Escenarios'!I30</f>
        <v>0</v>
      </c>
      <c r="L54" s="33">
        <f t="shared" ref="L54" si="28">+K54/K$57</f>
        <v>0</v>
      </c>
      <c r="M54" s="105">
        <f>'Proyección y Escenarios'!J30</f>
        <v>-51170097</v>
      </c>
      <c r="N54" s="33">
        <f t="shared" si="13"/>
        <v>1.9543790726958356E-2</v>
      </c>
      <c r="O54" s="105">
        <f>'Proyección y Escenarios'!$L30</f>
        <v>-52150069.960238457</v>
      </c>
      <c r="P54" s="33">
        <f t="shared" si="2"/>
        <v>1.9252676813770377E-2</v>
      </c>
      <c r="Q54" s="105">
        <f>'Proyección y Escenarios'!M30</f>
        <v>-19970642.381164104</v>
      </c>
      <c r="R54" s="33">
        <f t="shared" si="3"/>
        <v>6.4611545104872039E-3</v>
      </c>
      <c r="S54" s="105">
        <f>'Proyección y Escenarios'!N30</f>
        <v>-31120898.40541923</v>
      </c>
      <c r="T54" s="33">
        <f t="shared" si="4"/>
        <v>9.8574249774171716E-3</v>
      </c>
      <c r="U54" s="105">
        <f>'Proyección y Escenarios'!O30</f>
        <v>-32011124.320886683</v>
      </c>
      <c r="V54" s="33">
        <f t="shared" si="5"/>
        <v>9.6619034080685836E-3</v>
      </c>
      <c r="W54" s="105">
        <f>'Proyección y Escenarios'!P30</f>
        <v>-33001162.997060515</v>
      </c>
      <c r="X54" s="33">
        <f t="shared" si="6"/>
        <v>9.5222418870654808E-3</v>
      </c>
      <c r="Y54" s="105">
        <f>'Proyección y Escenarios'!Q30</f>
        <v>-33981196.187844686</v>
      </c>
      <c r="Z54" s="33">
        <f t="shared" si="7"/>
        <v>9.3751339993004366E-3</v>
      </c>
      <c r="AA54" s="105">
        <f>'Proyección y Escenarios'!R30</f>
        <v>-34976040.380201913</v>
      </c>
      <c r="AB54" s="33">
        <f t="shared" si="8"/>
        <v>9.2267093053562746E-3</v>
      </c>
      <c r="AC54" s="23"/>
      <c r="AD54" s="40"/>
      <c r="AE54" s="40"/>
      <c r="AF54" s="40"/>
      <c r="AG54" s="40"/>
    </row>
    <row r="55" spans="2:33" x14ac:dyDescent="0.25">
      <c r="B55" s="1" t="s">
        <v>29</v>
      </c>
      <c r="C55" s="105">
        <f>'Proyección y Escenarios'!E31</f>
        <v>0</v>
      </c>
      <c r="D55" s="33">
        <f t="shared" si="9"/>
        <v>0</v>
      </c>
      <c r="E55" s="105">
        <f>'Proyección y Escenarios'!F31</f>
        <v>0</v>
      </c>
      <c r="F55" s="33">
        <f t="shared" si="9"/>
        <v>0</v>
      </c>
      <c r="G55" s="105">
        <f>'Proyección y Escenarios'!G31</f>
        <v>0</v>
      </c>
      <c r="H55" s="33">
        <f t="shared" ref="H55" si="29">+G55/G$57</f>
        <v>0</v>
      </c>
      <c r="I55" s="105">
        <f>'Proyección y Escenarios'!H31</f>
        <v>0</v>
      </c>
      <c r="J55" s="33">
        <f t="shared" ref="J55" si="30">+I55/I$57</f>
        <v>0</v>
      </c>
      <c r="K55" s="105">
        <f>'Proyección y Escenarios'!I31</f>
        <v>-41006500</v>
      </c>
      <c r="L55" s="33">
        <f t="shared" ref="L55" si="31">+K55/K$57</f>
        <v>1.0555136099302993E-2</v>
      </c>
      <c r="M55" s="105">
        <f>'Proyección y Escenarios'!J31</f>
        <v>0</v>
      </c>
      <c r="N55" s="33">
        <f t="shared" si="13"/>
        <v>0</v>
      </c>
      <c r="O55" s="105">
        <f>'Proyección y Escenarios'!$L31</f>
        <v>0</v>
      </c>
      <c r="P55" s="33">
        <f t="shared" si="2"/>
        <v>0</v>
      </c>
      <c r="Q55" s="105">
        <f>'Proyección y Escenarios'!M31</f>
        <v>-8358365.4094871795</v>
      </c>
      <c r="R55" s="33">
        <f t="shared" si="3"/>
        <v>2.7042039677574129E-3</v>
      </c>
      <c r="S55" s="105">
        <f>'Proyección y Escenarios'!N31</f>
        <v>-10577626.675000001</v>
      </c>
      <c r="T55" s="33">
        <f t="shared" si="4"/>
        <v>3.3504226012248551E-3</v>
      </c>
      <c r="U55" s="105">
        <f>'Proyección y Escenarios'!O31</f>
        <v>-10880203.974265406</v>
      </c>
      <c r="V55" s="33">
        <f t="shared" si="5"/>
        <v>3.2839671236053742E-3</v>
      </c>
      <c r="W55" s="105">
        <f>'Proyección y Escenarios'!P31</f>
        <v>-11216706.454815725</v>
      </c>
      <c r="X55" s="33">
        <f t="shared" si="6"/>
        <v>3.2364978182277296E-3</v>
      </c>
      <c r="Y55" s="105">
        <f>'Proyección y Escenarios'!Q31</f>
        <v>-11549808.188775271</v>
      </c>
      <c r="Z55" s="33">
        <f t="shared" si="7"/>
        <v>3.1864975805271541E-3</v>
      </c>
      <c r="AA55" s="105">
        <f>'Proyección y Escenarios'!R31</f>
        <v>-11887944.007653629</v>
      </c>
      <c r="AB55" s="33">
        <f t="shared" si="8"/>
        <v>3.1360497759220307E-3</v>
      </c>
      <c r="AC55" s="23"/>
      <c r="AD55" s="40"/>
      <c r="AE55" s="40"/>
      <c r="AF55" s="40"/>
      <c r="AG55" s="40"/>
    </row>
    <row r="56" spans="2:33" x14ac:dyDescent="0.25">
      <c r="B56" s="1" t="s">
        <v>28</v>
      </c>
      <c r="C56" s="105">
        <f>'Proyección y Escenarios'!E32</f>
        <v>0</v>
      </c>
      <c r="D56" s="33">
        <f t="shared" si="9"/>
        <v>0</v>
      </c>
      <c r="E56" s="105">
        <f>'Proyección y Escenarios'!F32</f>
        <v>0</v>
      </c>
      <c r="F56" s="33">
        <f t="shared" si="9"/>
        <v>0</v>
      </c>
      <c r="G56" s="105">
        <f>'Proyección y Escenarios'!G32</f>
        <v>0</v>
      </c>
      <c r="H56" s="33">
        <f t="shared" ref="H56" si="32">+G56/G$57</f>
        <v>0</v>
      </c>
      <c r="I56" s="105">
        <f>'Proyección y Escenarios'!H32</f>
        <v>0</v>
      </c>
      <c r="J56" s="33">
        <f t="shared" ref="J56" si="33">+I56/I$57</f>
        <v>0</v>
      </c>
      <c r="K56" s="105">
        <f>'Proyección y Escenarios'!I32</f>
        <v>-47367356</v>
      </c>
      <c r="L56" s="33">
        <f t="shared" ref="L56" si="34">+K56/K$57</f>
        <v>1.2192430206043827E-2</v>
      </c>
      <c r="M56" s="105">
        <f>'Proyección y Escenarios'!J32</f>
        <v>0</v>
      </c>
      <c r="N56" s="33">
        <f t="shared" si="13"/>
        <v>0</v>
      </c>
      <c r="O56" s="105">
        <f>'Proyección y Escenarios'!$L32</f>
        <v>0</v>
      </c>
      <c r="P56" s="33">
        <f t="shared" si="2"/>
        <v>0</v>
      </c>
      <c r="Q56" s="105">
        <f>'Proyección y Escenarios'!M32</f>
        <v>-9654900.3189558964</v>
      </c>
      <c r="R56" s="33">
        <f t="shared" si="3"/>
        <v>3.1236753206778899E-3</v>
      </c>
      <c r="S56" s="105">
        <f>'Proyección y Escenarios'!N32</f>
        <v>-12218409.4802</v>
      </c>
      <c r="T56" s="33">
        <f t="shared" si="4"/>
        <v>3.8701342495132173E-3</v>
      </c>
      <c r="U56" s="105">
        <f>'Proyección y Escenarios'!O32</f>
        <v>-12567922.036790371</v>
      </c>
      <c r="V56" s="33">
        <f t="shared" si="5"/>
        <v>3.7933703153429765E-3</v>
      </c>
      <c r="W56" s="105">
        <f>'Proyección y Escenarios'!P32</f>
        <v>-12956622.188988438</v>
      </c>
      <c r="X56" s="33">
        <f t="shared" si="6"/>
        <v>3.7385376549867988E-3</v>
      </c>
      <c r="Y56" s="105">
        <f>'Proyección y Escenarios'!Q32</f>
        <v>-13341394.076778889</v>
      </c>
      <c r="Z56" s="33">
        <f t="shared" si="7"/>
        <v>3.6807814685468981E-3</v>
      </c>
      <c r="AA56" s="105">
        <f>'Proyección y Escenarios'!R32</f>
        <v>-13731980.927867442</v>
      </c>
      <c r="AB56" s="33">
        <f t="shared" si="8"/>
        <v>3.6225082894131193E-3</v>
      </c>
      <c r="AC56" s="23"/>
      <c r="AD56" s="40"/>
      <c r="AE56" s="40"/>
      <c r="AF56" s="40"/>
      <c r="AG56" s="40"/>
    </row>
    <row r="57" spans="2:33" x14ac:dyDescent="0.25">
      <c r="B57" s="108" t="s">
        <v>44</v>
      </c>
      <c r="C57" s="105">
        <f>'Proyección y Escenarios'!E33</f>
        <v>-1409193386</v>
      </c>
      <c r="D57" s="33">
        <f t="shared" si="9"/>
        <v>1</v>
      </c>
      <c r="E57" s="105">
        <f>'Proyección y Escenarios'!F33</f>
        <v>-2020254767</v>
      </c>
      <c r="F57" s="33">
        <f t="shared" si="9"/>
        <v>1</v>
      </c>
      <c r="G57" s="105">
        <f>'Proyección y Escenarios'!G33</f>
        <v>-2862362301</v>
      </c>
      <c r="H57" s="33">
        <f t="shared" ref="H57" si="35">+G57/G$57</f>
        <v>1</v>
      </c>
      <c r="I57" s="105">
        <f>'Proyección y Escenarios'!H33</f>
        <v>-3546088959</v>
      </c>
      <c r="J57" s="33">
        <f t="shared" ref="J57" si="36">+I57/I$57</f>
        <v>1</v>
      </c>
      <c r="K57" s="105">
        <f>'Proyección y Escenarios'!I33</f>
        <v>-3884980697</v>
      </c>
      <c r="L57" s="33">
        <f t="shared" ref="L57" si="37">+K57/K$57</f>
        <v>1</v>
      </c>
      <c r="M57" s="105">
        <f>'Proyección y Escenarios'!J33</f>
        <v>-2618227841</v>
      </c>
      <c r="N57" s="33">
        <f t="shared" si="13"/>
        <v>1</v>
      </c>
      <c r="O57" s="105">
        <f>'Proyección y Escenarios'!$L33</f>
        <v>-2708717881.91751</v>
      </c>
      <c r="P57" s="33">
        <f t="shared" si="2"/>
        <v>1</v>
      </c>
      <c r="Q57" s="105">
        <f>'Proyección y Escenarios'!M33</f>
        <v>-3090878317.2959929</v>
      </c>
      <c r="R57" s="33">
        <f t="shared" si="3"/>
        <v>1</v>
      </c>
      <c r="S57" s="105">
        <f>'Proyección y Escenarios'!N33</f>
        <v>-3157102232.7550583</v>
      </c>
      <c r="T57" s="33">
        <f t="shared" si="4"/>
        <v>1</v>
      </c>
      <c r="U57" s="105">
        <f>'Proyección y Escenarios'!O33</f>
        <v>-3313128166.2528763</v>
      </c>
      <c r="V57" s="33">
        <f t="shared" si="5"/>
        <v>1</v>
      </c>
      <c r="W57" s="105">
        <f>'Proyección y Escenarios'!P33</f>
        <v>-3465692574.1287441</v>
      </c>
      <c r="X57" s="33">
        <f t="shared" si="6"/>
        <v>1</v>
      </c>
      <c r="Y57" s="105">
        <f>'Proyección y Escenarios'!Q33</f>
        <v>-3624609119.2275577</v>
      </c>
      <c r="Z57" s="33">
        <f t="shared" si="7"/>
        <v>1</v>
      </c>
      <c r="AA57" s="105">
        <f>'Proyección y Escenarios'!R33</f>
        <v>-3790738303.6222544</v>
      </c>
      <c r="AB57" s="33">
        <f t="shared" si="8"/>
        <v>1</v>
      </c>
      <c r="AC57" s="23"/>
      <c r="AD57" s="8"/>
      <c r="AE57" s="8"/>
      <c r="AF57" s="8"/>
      <c r="AG57" s="8"/>
    </row>
    <row r="58" spans="2:33" x14ac:dyDescent="0.25">
      <c r="C58" s="100"/>
    </row>
  </sheetData>
  <phoneticPr fontId="30" type="noConversion"/>
  <conditionalFormatting sqref="J8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{A31B8B52-F5C1-4069-84B9-BF4AF5DCDC26}</x14:id>
        </ext>
      </extLst>
    </cfRule>
  </conditionalFormatting>
  <conditionalFormatting sqref="N47:O47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{5DA0365C-2396-4655-BE00-687BB31AC093}</x14:id>
        </ext>
      </extLst>
    </cfRule>
  </conditionalFormatting>
  <conditionalFormatting sqref="N48:N57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{D5AD510B-EC66-4676-9DDE-CCAD87710877}</x14:id>
        </ext>
      </extLst>
    </cfRule>
  </conditionalFormatting>
  <conditionalFormatting sqref="P47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{79940C71-32D4-441D-9AE6-0443897CB695}</x14:id>
        </ext>
      </extLst>
    </cfRule>
  </conditionalFormatting>
  <conditionalFormatting sqref="Q47">
    <cfRule type="dataBar" priority="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{4379FB78-7D9F-408B-8CBF-8031ECBBD74F}</x14:id>
        </ext>
      </extLst>
    </cfRule>
  </conditionalFormatting>
  <conditionalFormatting sqref="S47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{9C1D0F16-5DDD-407B-A095-AA4767A38252}</x14:id>
        </ext>
      </extLst>
    </cfRule>
  </conditionalFormatting>
  <conditionalFormatting sqref="U48:U57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{6E41638D-D216-4C25-8AC9-9A0BE510BCFD}</x14:id>
        </ext>
      </extLst>
    </cfRule>
  </conditionalFormatting>
  <conditionalFormatting sqref="M48:M57">
    <cfRule type="colorScale" priority="12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{9B52E379-FD86-4A8A-B1C8-F1E9F9FC703A}</x14:id>
        </ext>
      </extLst>
    </cfRule>
  </conditionalFormatting>
  <conditionalFormatting sqref="P49:P57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{64DF66C1-CE70-4281-BE87-07E50329754A}</x14:id>
        </ext>
      </extLst>
    </cfRule>
  </conditionalFormatting>
  <conditionalFormatting sqref="O48:O57">
    <cfRule type="colorScale" priority="122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{3FB7A9B2-56F9-4E98-9E43-029F26B104ED}</x14:id>
        </ext>
      </extLst>
    </cfRule>
  </conditionalFormatting>
  <conditionalFormatting sqref="Q48:Q57">
    <cfRule type="colorScale" priority="11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{FEF65BF7-7069-4177-89BD-966AB09FA6DD}</x14:id>
        </ext>
      </extLst>
    </cfRule>
  </conditionalFormatting>
  <conditionalFormatting sqref="P48:P57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{175D9E9B-E40E-432F-BFB3-9DD44F086AEB}</x14:id>
        </ext>
      </extLst>
    </cfRule>
  </conditionalFormatting>
  <conditionalFormatting sqref="V49:V57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{9E3A0368-71E4-44C8-8B6E-6D6D8B59FF93}</x14:id>
        </ext>
      </extLst>
    </cfRule>
  </conditionalFormatting>
  <conditionalFormatting sqref="V48:V57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{9C4FE736-3A79-4DB7-A398-FC400944F833}</x14:id>
        </ext>
      </extLst>
    </cfRule>
  </conditionalFormatting>
  <conditionalFormatting sqref="W48:W57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{A12EC151-969D-40E5-ADC6-8C2A06ABBCA1}</x14:id>
        </ext>
      </extLst>
    </cfRule>
  </conditionalFormatting>
  <conditionalFormatting sqref="X49:X57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{DD200442-1BBE-4090-8923-C490525723F4}</x14:id>
        </ext>
      </extLst>
    </cfRule>
  </conditionalFormatting>
  <conditionalFormatting sqref="X48:X57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{2C964B30-6C21-4133-8E9B-985D55D56404}</x14:id>
        </ext>
      </extLst>
    </cfRule>
  </conditionalFormatting>
  <conditionalFormatting sqref="Y48:Y57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{6ABF2CA4-6762-4A96-891D-93BBA123EDE7}</x14:id>
        </ext>
      </extLst>
    </cfRule>
  </conditionalFormatting>
  <conditionalFormatting sqref="Z49:Z57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{66D0080A-9569-420C-A818-0B21BFC28764}</x14:id>
        </ext>
      </extLst>
    </cfRule>
  </conditionalFormatting>
  <conditionalFormatting sqref="Z48:Z57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{3CD24E7D-B188-4947-B8B5-EC29C47C01A3}</x14:id>
        </ext>
      </extLst>
    </cfRule>
  </conditionalFormatting>
  <conditionalFormatting sqref="AA48:AA57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{ABA1788A-F2CE-40BA-9DCE-EB09AB41773C}</x14:id>
        </ext>
      </extLst>
    </cfRule>
  </conditionalFormatting>
  <conditionalFormatting sqref="AB49:AB57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{0D24F4BD-AA7E-48C2-84A3-39C19DE54D58}</x14:id>
        </ext>
      </extLst>
    </cfRule>
  </conditionalFormatting>
  <conditionalFormatting sqref="AB48:AB57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{870870AD-84E5-4828-9372-618F4FB17529}</x14:id>
        </ext>
      </extLst>
    </cfRule>
  </conditionalFormatting>
  <conditionalFormatting sqref="R49:R57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{F76A4C2B-D93C-425E-9DD9-07231B83E5CB}</x14:id>
        </ext>
      </extLst>
    </cfRule>
  </conditionalFormatting>
  <conditionalFormatting sqref="R48:R57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{4172B8D3-FA87-4859-AB4D-DBEF8EE939F7}</x14:id>
        </ext>
      </extLst>
    </cfRule>
  </conditionalFormatting>
  <conditionalFormatting sqref="S48:S57">
    <cfRule type="colorScale" priority="90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{B7935A80-8D9F-4010-9794-68DF450E72F6}</x14:id>
        </ext>
      </extLst>
    </cfRule>
  </conditionalFormatting>
  <conditionalFormatting sqref="T49:T57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{BE715E34-291B-422D-BA92-4D1EE5C13A03}</x14:id>
        </ext>
      </extLst>
    </cfRule>
  </conditionalFormatting>
  <conditionalFormatting sqref="T48:T57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{680FC204-0833-48FE-9F46-64FCDE2B4E16}</x14:id>
        </ext>
      </extLst>
    </cfRule>
  </conditionalFormatting>
  <conditionalFormatting sqref="C10:G10 I10:J10 L10:N10">
    <cfRule type="colorScale" priority="8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0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{B992EBC1-23F1-46DA-920E-237CC72DE17E}</x14:id>
        </ext>
      </extLst>
    </cfRule>
  </conditionalFormatting>
  <conditionalFormatting sqref="G10">
    <cfRule type="dataBar" priority="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{FA57CB1F-50D4-427C-BE0B-ABF42640835E}</x14:id>
        </ext>
      </extLst>
    </cfRule>
  </conditionalFormatting>
  <conditionalFormatting sqref="H10:J10">
    <cfRule type="colorScale" priority="8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0:N10">
    <cfRule type="colorScale" priority="8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48:C57">
    <cfRule type="colorScale" priority="78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{DDAF14AC-AF0F-42B7-8157-5E490BABBBF1}</x14:id>
        </ext>
      </extLst>
    </cfRule>
  </conditionalFormatting>
  <conditionalFormatting sqref="E48:E57">
    <cfRule type="colorScale" priority="76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{6ABC21C3-4265-450E-986D-32304607ED93}</x14:id>
        </ext>
      </extLst>
    </cfRule>
  </conditionalFormatting>
  <conditionalFormatting sqref="G48:G57">
    <cfRule type="colorScale" priority="74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{1AA9ACEA-6697-4765-B7CA-3E7214CC2869}</x14:id>
        </ext>
      </extLst>
    </cfRule>
  </conditionalFormatting>
  <conditionalFormatting sqref="I48:I57">
    <cfRule type="colorScale" priority="72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{D744786C-E561-413B-BC5F-8313CBD1A71A}</x14:id>
        </ext>
      </extLst>
    </cfRule>
  </conditionalFormatting>
  <conditionalFormatting sqref="K48:K57">
    <cfRule type="colorScale" priority="70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{1D136AA6-9DF8-41E8-B374-2EBCBFA01B44}</x14:id>
        </ext>
      </extLst>
    </cfRule>
  </conditionalFormatting>
  <conditionalFormatting sqref="D47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{59A00237-A22F-4A1C-B0CF-123C9139408C}</x14:id>
        </ext>
      </extLst>
    </cfRule>
  </conditionalFormatting>
  <conditionalFormatting sqref="D48:D57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{6B71042B-8FE3-4DD8-83AD-615D12E4367E}</x14:id>
        </ext>
      </extLst>
    </cfRule>
  </conditionalFormatting>
  <conditionalFormatting sqref="F47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{4B1D8ACE-5F52-492A-AF83-8D1D1686AADD}</x14:id>
        </ext>
      </extLst>
    </cfRule>
  </conditionalFormatting>
  <conditionalFormatting sqref="F48:F57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{42514730-6764-4DD9-B98E-64C0C94AE545}</x14:id>
        </ext>
      </extLst>
    </cfRule>
  </conditionalFormatting>
  <conditionalFormatting sqref="H47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{387CE443-39E2-4C7B-8168-9B9583EC1599}</x14:id>
        </ext>
      </extLst>
    </cfRule>
  </conditionalFormatting>
  <conditionalFormatting sqref="H48:H57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{89695D96-A431-485B-87FC-D666D2AAA013}</x14:id>
        </ext>
      </extLst>
    </cfRule>
  </conditionalFormatting>
  <conditionalFormatting sqref="J47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{08FA23A6-4455-4832-9918-820D8D4E9AC5}</x14:id>
        </ext>
      </extLst>
    </cfRule>
  </conditionalFormatting>
  <conditionalFormatting sqref="J48:J5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{BA41FC8E-C6DA-4A24-A031-EEC4EF0472A5}</x14:id>
        </ext>
      </extLst>
    </cfRule>
  </conditionalFormatting>
  <conditionalFormatting sqref="L47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{DB39F3F2-FE8D-443E-BA47-0B64DD4075B9}</x14:id>
        </ext>
      </extLst>
    </cfRule>
  </conditionalFormatting>
  <conditionalFormatting sqref="L48:L57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{16F0BBD4-6715-4069-AC86-E268B9DEF666}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1B8B52-F5C1-4069-84B9-BF4AF5DCDC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J8</xm:sqref>
        </x14:conditionalFormatting>
        <x14:conditionalFormatting xmlns:xm="http://schemas.microsoft.com/office/excel/2006/main">
          <x14:cfRule type="dataBar" id="{5DA0365C-2396-4655-BE00-687BB31AC0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N47:O47</xm:sqref>
        </x14:conditionalFormatting>
        <x14:conditionalFormatting xmlns:xm="http://schemas.microsoft.com/office/excel/2006/main">
          <x14:cfRule type="dataBar" id="{D5AD510B-EC66-4676-9DDE-CCAD877108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N48:N57</xm:sqref>
        </x14:conditionalFormatting>
        <x14:conditionalFormatting xmlns:xm="http://schemas.microsoft.com/office/excel/2006/main">
          <x14:cfRule type="dataBar" id="{79940C71-32D4-441D-9AE6-0443897CB6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P47</xm:sqref>
        </x14:conditionalFormatting>
        <x14:conditionalFormatting xmlns:xm="http://schemas.microsoft.com/office/excel/2006/main">
          <x14:cfRule type="dataBar" id="{4379FB78-7D9F-408B-8CBF-8031ECBBD7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Q47</xm:sqref>
        </x14:conditionalFormatting>
        <x14:conditionalFormatting xmlns:xm="http://schemas.microsoft.com/office/excel/2006/main">
          <x14:cfRule type="dataBar" id="{9C1D0F16-5DDD-407B-A095-AA4767A382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S47</xm:sqref>
        </x14:conditionalFormatting>
        <x14:conditionalFormatting xmlns:xm="http://schemas.microsoft.com/office/excel/2006/main">
          <x14:cfRule type="dataBar" id="{6E41638D-D216-4C25-8AC9-9A0BE510BC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U48:U57</xm:sqref>
        </x14:conditionalFormatting>
        <x14:conditionalFormatting xmlns:xm="http://schemas.microsoft.com/office/excel/2006/main">
          <x14:cfRule type="dataBar" id="{9B52E379-FD86-4A8A-B1C8-F1E9F9FC70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M48:M57</xm:sqref>
        </x14:conditionalFormatting>
        <x14:conditionalFormatting xmlns:xm="http://schemas.microsoft.com/office/excel/2006/main">
          <x14:cfRule type="dataBar" id="{64DF66C1-CE70-4281-BE87-07E5032975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P49:P57</xm:sqref>
        </x14:conditionalFormatting>
        <x14:conditionalFormatting xmlns:xm="http://schemas.microsoft.com/office/excel/2006/main">
          <x14:cfRule type="dataBar" id="{3FB7A9B2-56F9-4E98-9E43-029F26B104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O48:O57</xm:sqref>
        </x14:conditionalFormatting>
        <x14:conditionalFormatting xmlns:xm="http://schemas.microsoft.com/office/excel/2006/main">
          <x14:cfRule type="dataBar" id="{FEF65BF7-7069-4177-89BD-966AB09FA6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Q48:Q57</xm:sqref>
        </x14:conditionalFormatting>
        <x14:conditionalFormatting xmlns:xm="http://schemas.microsoft.com/office/excel/2006/main">
          <x14:cfRule type="dataBar" id="{175D9E9B-E40E-432F-BFB3-9DD44F086A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P48:P57</xm:sqref>
        </x14:conditionalFormatting>
        <x14:conditionalFormatting xmlns:xm="http://schemas.microsoft.com/office/excel/2006/main">
          <x14:cfRule type="dataBar" id="{9E3A0368-71E4-44C8-8B6E-6D6D8B59FF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V49:V57</xm:sqref>
        </x14:conditionalFormatting>
        <x14:conditionalFormatting xmlns:xm="http://schemas.microsoft.com/office/excel/2006/main">
          <x14:cfRule type="dataBar" id="{9C4FE736-3A79-4DB7-A398-FC400944F8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V48:V57</xm:sqref>
        </x14:conditionalFormatting>
        <x14:conditionalFormatting xmlns:xm="http://schemas.microsoft.com/office/excel/2006/main">
          <x14:cfRule type="dataBar" id="{A12EC151-969D-40E5-ADC6-8C2A06ABBC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W48:W57</xm:sqref>
        </x14:conditionalFormatting>
        <x14:conditionalFormatting xmlns:xm="http://schemas.microsoft.com/office/excel/2006/main">
          <x14:cfRule type="dataBar" id="{DD200442-1BBE-4090-8923-C490525723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X49:X57</xm:sqref>
        </x14:conditionalFormatting>
        <x14:conditionalFormatting xmlns:xm="http://schemas.microsoft.com/office/excel/2006/main">
          <x14:cfRule type="dataBar" id="{2C964B30-6C21-4133-8E9B-985D55D564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X48:X57</xm:sqref>
        </x14:conditionalFormatting>
        <x14:conditionalFormatting xmlns:xm="http://schemas.microsoft.com/office/excel/2006/main">
          <x14:cfRule type="dataBar" id="{6ABF2CA4-6762-4A96-891D-93BBA123ED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Y48:Y57</xm:sqref>
        </x14:conditionalFormatting>
        <x14:conditionalFormatting xmlns:xm="http://schemas.microsoft.com/office/excel/2006/main">
          <x14:cfRule type="dataBar" id="{66D0080A-9569-420C-A818-0B21BFC287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Z49:Z57</xm:sqref>
        </x14:conditionalFormatting>
        <x14:conditionalFormatting xmlns:xm="http://schemas.microsoft.com/office/excel/2006/main">
          <x14:cfRule type="dataBar" id="{3CD24E7D-B188-4947-B8B5-EC29C47C01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Z48:Z57</xm:sqref>
        </x14:conditionalFormatting>
        <x14:conditionalFormatting xmlns:xm="http://schemas.microsoft.com/office/excel/2006/main">
          <x14:cfRule type="dataBar" id="{ABA1788A-F2CE-40BA-9DCE-EB09AB4177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AA48:AA57</xm:sqref>
        </x14:conditionalFormatting>
        <x14:conditionalFormatting xmlns:xm="http://schemas.microsoft.com/office/excel/2006/main">
          <x14:cfRule type="dataBar" id="{0D24F4BD-AA7E-48C2-84A3-39C19DE54D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AB49:AB57</xm:sqref>
        </x14:conditionalFormatting>
        <x14:conditionalFormatting xmlns:xm="http://schemas.microsoft.com/office/excel/2006/main">
          <x14:cfRule type="dataBar" id="{870870AD-84E5-4828-9372-618F4FB175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AB48:AB57</xm:sqref>
        </x14:conditionalFormatting>
        <x14:conditionalFormatting xmlns:xm="http://schemas.microsoft.com/office/excel/2006/main">
          <x14:cfRule type="dataBar" id="{F76A4C2B-D93C-425E-9DD9-07231B83E5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R49:R57</xm:sqref>
        </x14:conditionalFormatting>
        <x14:conditionalFormatting xmlns:xm="http://schemas.microsoft.com/office/excel/2006/main">
          <x14:cfRule type="dataBar" id="{4172B8D3-FA87-4859-AB4D-DBEF8EE939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R48:R57</xm:sqref>
        </x14:conditionalFormatting>
        <x14:conditionalFormatting xmlns:xm="http://schemas.microsoft.com/office/excel/2006/main">
          <x14:cfRule type="dataBar" id="{B7935A80-8D9F-4010-9794-68DF450E72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S48:S57</xm:sqref>
        </x14:conditionalFormatting>
        <x14:conditionalFormatting xmlns:xm="http://schemas.microsoft.com/office/excel/2006/main">
          <x14:cfRule type="dataBar" id="{BE715E34-291B-422D-BA92-4D1EE5C13A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T49:T57</xm:sqref>
        </x14:conditionalFormatting>
        <x14:conditionalFormatting xmlns:xm="http://schemas.microsoft.com/office/excel/2006/main">
          <x14:cfRule type="dataBar" id="{680FC204-0833-48FE-9F46-64FCDE2B4E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T48:T57</xm:sqref>
        </x14:conditionalFormatting>
        <x14:conditionalFormatting xmlns:xm="http://schemas.microsoft.com/office/excel/2006/main">
          <x14:cfRule type="dataBar" id="{B992EBC1-23F1-46DA-920E-237CC72DE1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FA57CB1F-50D4-427C-BE0B-ABF4264083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DDAF14AC-AF0F-42B7-8157-5E490BABBB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C48:C57</xm:sqref>
        </x14:conditionalFormatting>
        <x14:conditionalFormatting xmlns:xm="http://schemas.microsoft.com/office/excel/2006/main">
          <x14:cfRule type="dataBar" id="{6ABC21C3-4265-450E-986D-32304607ED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E48:E57</xm:sqref>
        </x14:conditionalFormatting>
        <x14:conditionalFormatting xmlns:xm="http://schemas.microsoft.com/office/excel/2006/main">
          <x14:cfRule type="dataBar" id="{1AA9ACEA-6697-4765-B7CA-3E7214CC28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G48:G57</xm:sqref>
        </x14:conditionalFormatting>
        <x14:conditionalFormatting xmlns:xm="http://schemas.microsoft.com/office/excel/2006/main">
          <x14:cfRule type="dataBar" id="{D744786C-E561-413B-BC5F-8313CBD1A7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I48:I57</xm:sqref>
        </x14:conditionalFormatting>
        <x14:conditionalFormatting xmlns:xm="http://schemas.microsoft.com/office/excel/2006/main">
          <x14:cfRule type="dataBar" id="{1D136AA6-9DF8-41E8-B374-2EBCBFA01B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K48:K57</xm:sqref>
        </x14:conditionalFormatting>
        <x14:conditionalFormatting xmlns:xm="http://schemas.microsoft.com/office/excel/2006/main">
          <x14:cfRule type="dataBar" id="{59A00237-A22F-4A1C-B0CF-123C913940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D47</xm:sqref>
        </x14:conditionalFormatting>
        <x14:conditionalFormatting xmlns:xm="http://schemas.microsoft.com/office/excel/2006/main">
          <x14:cfRule type="dataBar" id="{6B71042B-8FE3-4DD8-83AD-615D12E436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D48:D57</xm:sqref>
        </x14:conditionalFormatting>
        <x14:conditionalFormatting xmlns:xm="http://schemas.microsoft.com/office/excel/2006/main">
          <x14:cfRule type="dataBar" id="{4B1D8ACE-5F52-492A-AF83-8D1D1686AA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F47</xm:sqref>
        </x14:conditionalFormatting>
        <x14:conditionalFormatting xmlns:xm="http://schemas.microsoft.com/office/excel/2006/main">
          <x14:cfRule type="dataBar" id="{42514730-6764-4DD9-B98E-64C0C94AE5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F48:F57</xm:sqref>
        </x14:conditionalFormatting>
        <x14:conditionalFormatting xmlns:xm="http://schemas.microsoft.com/office/excel/2006/main">
          <x14:cfRule type="dataBar" id="{387CE443-39E2-4C7B-8168-9B9583EC15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H47</xm:sqref>
        </x14:conditionalFormatting>
        <x14:conditionalFormatting xmlns:xm="http://schemas.microsoft.com/office/excel/2006/main">
          <x14:cfRule type="dataBar" id="{89695D96-A431-485B-87FC-D666D2AAA0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H48:H57</xm:sqref>
        </x14:conditionalFormatting>
        <x14:conditionalFormatting xmlns:xm="http://schemas.microsoft.com/office/excel/2006/main">
          <x14:cfRule type="dataBar" id="{08FA23A6-4455-4832-9918-820D8D4E9A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J47</xm:sqref>
        </x14:conditionalFormatting>
        <x14:conditionalFormatting xmlns:xm="http://schemas.microsoft.com/office/excel/2006/main">
          <x14:cfRule type="dataBar" id="{BA41FC8E-C6DA-4A24-A031-EEC4EF0472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J48:J57</xm:sqref>
        </x14:conditionalFormatting>
        <x14:conditionalFormatting xmlns:xm="http://schemas.microsoft.com/office/excel/2006/main">
          <x14:cfRule type="dataBar" id="{DB39F3F2-FE8D-443E-BA47-0B64DD4075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L47</xm:sqref>
        </x14:conditionalFormatting>
        <x14:conditionalFormatting xmlns:xm="http://schemas.microsoft.com/office/excel/2006/main">
          <x14:cfRule type="dataBar" id="{16F0BBD4-6715-4069-AC86-E268B9DEF6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L48:L57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D154-044E-49C7-BD47-69D053B72CBD}">
  <sheetPr codeName="Hoja4"/>
  <dimension ref="A1:K36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6" sqref="C36"/>
    </sheetView>
  </sheetViews>
  <sheetFormatPr baseColWidth="10" defaultRowHeight="15" outlineLevelRow="1" x14ac:dyDescent="0.25"/>
  <cols>
    <col min="2" max="2" width="35.140625" bestFit="1" customWidth="1"/>
    <col min="3" max="3" width="26.28515625" customWidth="1"/>
    <col min="4" max="7" width="15.5703125" customWidth="1"/>
    <col min="8" max="8" width="14.85546875" bestFit="1" customWidth="1"/>
  </cols>
  <sheetData>
    <row r="1" spans="2:11" x14ac:dyDescent="0.25">
      <c r="B1" s="33"/>
      <c r="C1" s="35"/>
      <c r="D1" s="35"/>
      <c r="E1" s="35"/>
      <c r="F1" s="35"/>
      <c r="G1" s="35"/>
      <c r="H1" s="35"/>
      <c r="I1" s="35"/>
      <c r="J1" s="35"/>
      <c r="K1" s="35"/>
    </row>
    <row r="2" spans="2:11" x14ac:dyDescent="0.25">
      <c r="B2" s="33"/>
      <c r="C2" s="7" t="s">
        <v>74</v>
      </c>
      <c r="D2" s="35"/>
      <c r="E2" s="35"/>
      <c r="F2" s="35"/>
      <c r="G2" s="35"/>
      <c r="H2" s="35"/>
      <c r="I2" s="35"/>
      <c r="J2" s="35"/>
      <c r="K2" s="35"/>
    </row>
    <row r="3" spans="2:11" x14ac:dyDescent="0.25">
      <c r="B3" s="33"/>
      <c r="C3" s="7" t="s">
        <v>72</v>
      </c>
      <c r="D3" s="35"/>
      <c r="E3" s="35"/>
      <c r="F3" s="35"/>
      <c r="G3" s="35"/>
      <c r="H3" s="35"/>
      <c r="I3" s="35"/>
      <c r="J3" s="35"/>
      <c r="K3" s="35"/>
    </row>
    <row r="4" spans="2:11" x14ac:dyDescent="0.25">
      <c r="B4" s="33"/>
      <c r="D4" s="35"/>
      <c r="E4" s="35"/>
      <c r="F4" s="35"/>
      <c r="G4" s="35"/>
      <c r="H4" s="35"/>
      <c r="I4" s="35"/>
      <c r="J4" s="35"/>
      <c r="K4" s="35"/>
    </row>
    <row r="5" spans="2:11" x14ac:dyDescent="0.25">
      <c r="B5" s="33"/>
      <c r="C5" s="35"/>
      <c r="D5" s="35"/>
      <c r="E5" s="35"/>
      <c r="F5" s="35"/>
      <c r="G5" s="35"/>
      <c r="H5" s="35"/>
      <c r="I5" s="35"/>
      <c r="J5" s="35"/>
      <c r="K5" s="35"/>
    </row>
    <row r="9" spans="2:11" x14ac:dyDescent="0.25">
      <c r="B9" s="42" t="s">
        <v>78</v>
      </c>
      <c r="C9" s="52" t="s">
        <v>79</v>
      </c>
      <c r="D9" s="52" t="s">
        <v>80</v>
      </c>
      <c r="E9" s="52" t="s">
        <v>81</v>
      </c>
      <c r="F9" s="52" t="s">
        <v>82</v>
      </c>
      <c r="G9" s="52" t="s">
        <v>83</v>
      </c>
      <c r="H9" s="52" t="s">
        <v>84</v>
      </c>
    </row>
    <row r="10" spans="2:11" x14ac:dyDescent="0.25">
      <c r="B10" s="42"/>
    </row>
    <row r="11" spans="2:11" x14ac:dyDescent="0.25">
      <c r="B11" s="42" t="s">
        <v>102</v>
      </c>
      <c r="C11" s="35">
        <f>'Proyección y Escenarios'!N50</f>
        <v>194154623.38146797</v>
      </c>
      <c r="D11" s="35">
        <f>'Proyección y Escenarios'!O50</f>
        <v>201407329.4189716</v>
      </c>
      <c r="E11" s="35">
        <f>'Proyección y Escenarios'!P50</f>
        <v>228231615.65887162</v>
      </c>
      <c r="F11" s="35">
        <f>'Proyección y Escenarios'!Q50</f>
        <v>253304729.06609467</v>
      </c>
      <c r="G11" s="35">
        <f>'Proyección y Escenarios'!R50</f>
        <v>278690082.39786851</v>
      </c>
    </row>
    <row r="12" spans="2:11" x14ac:dyDescent="0.25">
      <c r="B12" s="42" t="s">
        <v>85</v>
      </c>
      <c r="C12" s="35"/>
      <c r="D12" s="35"/>
      <c r="E12" s="35"/>
      <c r="F12" s="35"/>
      <c r="G12" s="35"/>
    </row>
    <row r="13" spans="2:11" x14ac:dyDescent="0.25">
      <c r="B13" s="42" t="s">
        <v>86</v>
      </c>
      <c r="C13" s="35"/>
      <c r="D13" s="35"/>
      <c r="E13" s="35"/>
      <c r="F13" s="35"/>
      <c r="G13" s="35"/>
    </row>
    <row r="14" spans="2:11" x14ac:dyDescent="0.25">
      <c r="B14" s="42" t="s">
        <v>87</v>
      </c>
      <c r="C14" s="41">
        <f>SUM(C11:C13)</f>
        <v>194154623.38146797</v>
      </c>
      <c r="D14" s="41">
        <f t="shared" ref="D14:G14" si="0">SUM(D11:D13)</f>
        <v>201407329.4189716</v>
      </c>
      <c r="E14" s="41">
        <f t="shared" si="0"/>
        <v>228231615.65887162</v>
      </c>
      <c r="F14" s="41">
        <f t="shared" si="0"/>
        <v>253304729.06609467</v>
      </c>
      <c r="G14" s="41">
        <f t="shared" si="0"/>
        <v>278690082.39786851</v>
      </c>
    </row>
    <row r="15" spans="2:11" x14ac:dyDescent="0.25">
      <c r="B15" s="42"/>
      <c r="C15" s="35"/>
      <c r="D15" s="35"/>
      <c r="E15" s="35"/>
      <c r="F15" s="35"/>
      <c r="G15" s="35"/>
    </row>
    <row r="16" spans="2:11" hidden="1" outlineLevel="1" x14ac:dyDescent="0.25">
      <c r="B16" s="42" t="s">
        <v>88</v>
      </c>
      <c r="C16" s="35"/>
      <c r="D16" s="35"/>
      <c r="E16" s="35"/>
      <c r="F16" s="35"/>
      <c r="G16" s="35"/>
    </row>
    <row r="17" spans="1:8" hidden="1" outlineLevel="1" x14ac:dyDescent="0.25">
      <c r="B17" s="42" t="s">
        <v>89</v>
      </c>
      <c r="C17" s="35"/>
      <c r="D17" s="35"/>
      <c r="E17" s="35"/>
      <c r="F17" s="35"/>
      <c r="G17" s="35"/>
    </row>
    <row r="18" spans="1:8" hidden="1" outlineLevel="1" x14ac:dyDescent="0.25">
      <c r="B18" s="42" t="s">
        <v>90</v>
      </c>
      <c r="C18" s="35"/>
      <c r="D18" s="35"/>
      <c r="E18" s="35"/>
      <c r="F18" s="35"/>
      <c r="G18" s="35"/>
    </row>
    <row r="19" spans="1:8" hidden="1" outlineLevel="1" x14ac:dyDescent="0.25">
      <c r="B19" s="42" t="s">
        <v>91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idden="1" outlineLevel="1" x14ac:dyDescent="0.25">
      <c r="B20" s="42" t="s">
        <v>92</v>
      </c>
      <c r="C20" s="35">
        <f>SUM(C17:C19)</f>
        <v>0</v>
      </c>
      <c r="D20" s="35">
        <f t="shared" ref="D20:G20" si="1">SUM(D17:D19)</f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</row>
    <row r="21" spans="1:8" hidden="1" outlineLevel="1" x14ac:dyDescent="0.25">
      <c r="B21" s="42" t="s">
        <v>93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idden="1" outlineLevel="1" x14ac:dyDescent="0.25">
      <c r="B22" s="42" t="s">
        <v>94</v>
      </c>
      <c r="C22" s="41">
        <f>C20+C21</f>
        <v>0</v>
      </c>
      <c r="D22" s="41">
        <f t="shared" ref="D22:G22" si="2">D20+D21</f>
        <v>0</v>
      </c>
      <c r="E22" s="41">
        <f t="shared" si="2"/>
        <v>0</v>
      </c>
      <c r="F22" s="41">
        <f t="shared" si="2"/>
        <v>0</v>
      </c>
      <c r="G22" s="41">
        <f t="shared" si="2"/>
        <v>0</v>
      </c>
    </row>
    <row r="23" spans="1:8" hidden="1" outlineLevel="1" x14ac:dyDescent="0.25">
      <c r="B23" s="42"/>
      <c r="C23" s="35"/>
      <c r="D23" s="35"/>
      <c r="E23" s="35"/>
      <c r="F23" s="35"/>
      <c r="G23" s="35"/>
    </row>
    <row r="24" spans="1:8" hidden="1" outlineLevel="1" x14ac:dyDescent="0.25">
      <c r="B24" s="42" t="s">
        <v>95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idden="1" outlineLevel="1" x14ac:dyDescent="0.25">
      <c r="B25" s="42" t="s">
        <v>16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collapsed="1" x14ac:dyDescent="0.25">
      <c r="B26" s="43" t="s">
        <v>78</v>
      </c>
      <c r="C26" s="41">
        <f>C14-C22</f>
        <v>194154623.38146797</v>
      </c>
      <c r="D26" s="41">
        <f t="shared" ref="D26:F26" si="3">D14-D22</f>
        <v>201407329.4189716</v>
      </c>
      <c r="E26" s="41">
        <f t="shared" si="3"/>
        <v>228231615.65887162</v>
      </c>
      <c r="F26" s="41">
        <f t="shared" si="3"/>
        <v>253304729.06609467</v>
      </c>
      <c r="G26" s="41">
        <f>G14-G22</f>
        <v>278690082.39786851</v>
      </c>
      <c r="H26" s="44">
        <f>G26</f>
        <v>278690082.39786851</v>
      </c>
    </row>
    <row r="27" spans="1:8" x14ac:dyDescent="0.25">
      <c r="G27" s="92">
        <f>H26/G28</f>
        <v>1350046694.2872634</v>
      </c>
    </row>
    <row r="28" spans="1:8" x14ac:dyDescent="0.25">
      <c r="B28" t="s">
        <v>96</v>
      </c>
      <c r="C28" s="33">
        <f>C30+C31*RiesgoInversionista</f>
        <v>0.1689299579986</v>
      </c>
      <c r="D28" s="33">
        <f>D30+D31*RiesgoInversionista</f>
        <v>0.18167995799859998</v>
      </c>
      <c r="E28" s="33">
        <f>E30+E31*RiesgoInversionista</f>
        <v>0.19442995799859999</v>
      </c>
      <c r="F28" s="33">
        <f>F30+F31*RiesgoInversionista</f>
        <v>0.2004299579986</v>
      </c>
      <c r="G28" s="33">
        <f>G30+G31*RiesgoInversionista</f>
        <v>0.20642995799859998</v>
      </c>
    </row>
    <row r="29" spans="1:8" x14ac:dyDescent="0.25">
      <c r="B29" s="7" t="s">
        <v>97</v>
      </c>
      <c r="C29" s="7">
        <v>1</v>
      </c>
      <c r="D29" s="45">
        <f>1/(1+D28)</f>
        <v>0.84625282271325852</v>
      </c>
      <c r="E29" s="45">
        <f>1/(1+E28)*D29</f>
        <v>0.70849932810731664</v>
      </c>
      <c r="F29" s="45">
        <f>1/(1+F28)*E29</f>
        <v>0.59020463741887297</v>
      </c>
      <c r="G29" s="45">
        <f t="shared" ref="G29" si="4">1/(1+G28)*F29</f>
        <v>0.48921583346453823</v>
      </c>
    </row>
    <row r="30" spans="1:8" x14ac:dyDescent="0.25">
      <c r="B30" t="s">
        <v>98</v>
      </c>
      <c r="C30" s="46">
        <v>0.04</v>
      </c>
      <c r="D30" s="47">
        <f>AVERAGE(C30,E30)</f>
        <v>5.2750000000000005E-2</v>
      </c>
      <c r="E30" s="47">
        <v>6.5500000000000003E-2</v>
      </c>
      <c r="F30" s="47">
        <f>AVERAGE(E30,G30)</f>
        <v>7.1500000000000008E-2</v>
      </c>
      <c r="G30" s="47">
        <v>7.7499999999999999E-2</v>
      </c>
    </row>
    <row r="31" spans="1:8" x14ac:dyDescent="0.25">
      <c r="A31" s="48">
        <v>26</v>
      </c>
      <c r="B31" t="s">
        <v>99</v>
      </c>
      <c r="C31" s="49">
        <f>VLOOKUP($A$31,betas,4)</f>
        <v>1.6056034619999999</v>
      </c>
      <c r="D31" s="49">
        <f>VLOOKUP($A$31,betas,4)</f>
        <v>1.6056034619999999</v>
      </c>
      <c r="E31" s="49">
        <f>VLOOKUP($A$31,betas,4)</f>
        <v>1.6056034619999999</v>
      </c>
      <c r="F31" s="49">
        <f>VLOOKUP($A$31,betas,4)</f>
        <v>1.6056034619999999</v>
      </c>
      <c r="G31" s="49">
        <f>VLOOKUP($A$31,betas,4)</f>
        <v>1.6056034619999999</v>
      </c>
    </row>
    <row r="32" spans="1:8" x14ac:dyDescent="0.25">
      <c r="B32" t="s">
        <v>100</v>
      </c>
      <c r="C32" s="93">
        <v>8.0299999999999996E-2</v>
      </c>
    </row>
    <row r="34" spans="2:7" x14ac:dyDescent="0.25">
      <c r="B34" t="s">
        <v>101</v>
      </c>
      <c r="C34" s="50">
        <f>SUM(C26:C27)*C29</f>
        <v>194154623.38146797</v>
      </c>
      <c r="D34" s="50">
        <f t="shared" ref="D34:F34" si="5">SUM(D26:D27)*D29</f>
        <v>170441521.03594384</v>
      </c>
      <c r="E34" s="50">
        <f t="shared" si="5"/>
        <v>161701946.34715787</v>
      </c>
      <c r="F34" s="50">
        <f t="shared" si="5"/>
        <v>149501625.77494025</v>
      </c>
      <c r="G34" s="50">
        <f>SUM(G26:G27)*G29</f>
        <v>796803819.70036232</v>
      </c>
    </row>
    <row r="36" spans="2:7" ht="18.75" x14ac:dyDescent="0.3">
      <c r="B36" s="53" t="s">
        <v>236</v>
      </c>
      <c r="C36" s="54">
        <f>SUM(C34:G34)</f>
        <v>1472603536.2398722</v>
      </c>
      <c r="D36" s="51"/>
      <c r="E36" s="35"/>
    </row>
  </sheetData>
  <pageMargins left="0.7" right="0.7" top="0.75" bottom="0.75" header="0.3" footer="0.3"/>
  <pageSetup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866775</xdr:colOff>
                    <xdr:row>30</xdr:row>
                    <xdr:rowOff>9525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7C91-2A64-45B0-A24F-69B0DF10ED12}">
  <sheetPr codeName="Hoja8"/>
  <dimension ref="A1:K36"/>
  <sheetViews>
    <sheetView showGridLines="0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6" sqref="C36"/>
    </sheetView>
  </sheetViews>
  <sheetFormatPr baseColWidth="10" defaultRowHeight="15" outlineLevelRow="1" x14ac:dyDescent="0.25"/>
  <cols>
    <col min="2" max="2" width="35.140625" bestFit="1" customWidth="1"/>
    <col min="3" max="3" width="26.28515625" customWidth="1"/>
    <col min="4" max="7" width="15.5703125" customWidth="1"/>
    <col min="8" max="8" width="14.85546875" bestFit="1" customWidth="1"/>
  </cols>
  <sheetData>
    <row r="1" spans="2:11" x14ac:dyDescent="0.25">
      <c r="B1" s="33"/>
      <c r="C1" s="35"/>
      <c r="D1" s="35"/>
      <c r="E1" s="35"/>
      <c r="F1" s="35"/>
      <c r="G1" s="35"/>
      <c r="H1" s="35"/>
      <c r="I1" s="35"/>
      <c r="J1" s="35"/>
      <c r="K1" s="35"/>
    </row>
    <row r="2" spans="2:11" x14ac:dyDescent="0.25">
      <c r="B2" s="33"/>
      <c r="C2" s="7" t="s">
        <v>74</v>
      </c>
      <c r="D2" s="35"/>
      <c r="E2" s="35"/>
      <c r="F2" s="35"/>
      <c r="G2" s="35"/>
      <c r="H2" s="35"/>
      <c r="I2" s="35"/>
      <c r="J2" s="35"/>
      <c r="K2" s="35"/>
    </row>
    <row r="3" spans="2:11" x14ac:dyDescent="0.25">
      <c r="B3" s="33"/>
      <c r="C3" s="7" t="s">
        <v>72</v>
      </c>
      <c r="D3" s="35"/>
      <c r="E3" s="35"/>
      <c r="F3" s="35"/>
      <c r="G3" s="35"/>
      <c r="H3" s="35"/>
      <c r="I3" s="35"/>
      <c r="J3" s="35"/>
      <c r="K3" s="35"/>
    </row>
    <row r="4" spans="2:11" x14ac:dyDescent="0.25">
      <c r="B4" s="33"/>
      <c r="D4" s="35"/>
      <c r="E4" s="35"/>
      <c r="F4" s="35"/>
      <c r="G4" s="35"/>
      <c r="H4" s="35"/>
      <c r="I4" s="35"/>
      <c r="J4" s="35"/>
      <c r="K4" s="35"/>
    </row>
    <row r="5" spans="2:11" x14ac:dyDescent="0.25">
      <c r="B5" s="33"/>
      <c r="C5" s="35"/>
      <c r="D5" s="35"/>
      <c r="E5" s="35"/>
      <c r="F5" s="35"/>
      <c r="G5" s="35"/>
      <c r="H5" s="35"/>
      <c r="I5" s="35"/>
      <c r="J5" s="35"/>
      <c r="K5" s="35"/>
    </row>
    <row r="9" spans="2:11" x14ac:dyDescent="0.25">
      <c r="B9" s="42" t="s">
        <v>78</v>
      </c>
      <c r="C9" s="52" t="s">
        <v>79</v>
      </c>
      <c r="D9" s="52" t="s">
        <v>80</v>
      </c>
      <c r="E9" s="52" t="s">
        <v>81</v>
      </c>
      <c r="F9" s="52" t="s">
        <v>82</v>
      </c>
      <c r="G9" s="52" t="s">
        <v>83</v>
      </c>
      <c r="H9" s="52" t="s">
        <v>84</v>
      </c>
    </row>
    <row r="10" spans="2:11" x14ac:dyDescent="0.25">
      <c r="B10" s="42"/>
    </row>
    <row r="11" spans="2:11" x14ac:dyDescent="0.25">
      <c r="B11" s="42" t="s">
        <v>102</v>
      </c>
      <c r="C11" s="35">
        <f>'Sostenibilidad y P-E'!N52</f>
        <v>1.4901161193847656E-7</v>
      </c>
      <c r="D11" s="35">
        <f>'Sostenibilidad y P-E'!O52</f>
        <v>201407329.4189716</v>
      </c>
      <c r="E11" s="35">
        <f>'Sostenibilidad y P-E'!P52</f>
        <v>228231615.65887114</v>
      </c>
      <c r="F11" s="35">
        <f>'Sostenibilidad y P-E'!Q52</f>
        <v>364741910.8458941</v>
      </c>
      <c r="G11" s="35">
        <f>'Sostenibilidad y P-E'!R52</f>
        <v>515936860.74436986</v>
      </c>
    </row>
    <row r="12" spans="2:11" x14ac:dyDescent="0.25">
      <c r="B12" s="42" t="s">
        <v>85</v>
      </c>
      <c r="C12" s="35"/>
      <c r="D12" s="35"/>
      <c r="E12" s="35"/>
      <c r="F12" s="35"/>
      <c r="G12" s="35"/>
    </row>
    <row r="13" spans="2:11" x14ac:dyDescent="0.25">
      <c r="B13" s="42" t="s">
        <v>86</v>
      </c>
      <c r="C13" s="35"/>
      <c r="D13" s="35"/>
      <c r="E13" s="35"/>
      <c r="F13" s="35"/>
      <c r="G13" s="35"/>
    </row>
    <row r="14" spans="2:11" x14ac:dyDescent="0.25">
      <c r="B14" s="42" t="s">
        <v>87</v>
      </c>
      <c r="C14" s="41">
        <f>SUM(C11:C13)</f>
        <v>1.4901161193847656E-7</v>
      </c>
      <c r="D14" s="41">
        <f t="shared" ref="D14:G14" si="0">SUM(D11:D13)</f>
        <v>201407329.4189716</v>
      </c>
      <c r="E14" s="41">
        <f t="shared" si="0"/>
        <v>228231615.65887114</v>
      </c>
      <c r="F14" s="41">
        <f t="shared" si="0"/>
        <v>364741910.8458941</v>
      </c>
      <c r="G14" s="41">
        <f t="shared" si="0"/>
        <v>515936860.74436986</v>
      </c>
    </row>
    <row r="15" spans="2:11" x14ac:dyDescent="0.25">
      <c r="B15" s="42"/>
      <c r="C15" s="35"/>
      <c r="D15" s="35"/>
      <c r="E15" s="35"/>
      <c r="F15" s="35"/>
      <c r="G15" s="35"/>
    </row>
    <row r="16" spans="2:11" hidden="1" outlineLevel="1" x14ac:dyDescent="0.25">
      <c r="B16" s="42" t="s">
        <v>88</v>
      </c>
      <c r="C16" s="35"/>
      <c r="D16" s="35"/>
      <c r="E16" s="35"/>
      <c r="F16" s="35"/>
      <c r="G16" s="35"/>
    </row>
    <row r="17" spans="1:8" hidden="1" outlineLevel="1" x14ac:dyDescent="0.25">
      <c r="B17" s="42" t="s">
        <v>89</v>
      </c>
      <c r="C17" s="35"/>
      <c r="D17" s="35"/>
      <c r="E17" s="35"/>
      <c r="F17" s="35"/>
      <c r="G17" s="35"/>
    </row>
    <row r="18" spans="1:8" hidden="1" outlineLevel="1" x14ac:dyDescent="0.25">
      <c r="B18" s="42" t="s">
        <v>90</v>
      </c>
      <c r="C18" s="35"/>
      <c r="D18" s="35"/>
      <c r="E18" s="35"/>
      <c r="F18" s="35"/>
      <c r="G18" s="35"/>
    </row>
    <row r="19" spans="1:8" hidden="1" outlineLevel="1" x14ac:dyDescent="0.25">
      <c r="B19" s="42" t="s">
        <v>91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idden="1" outlineLevel="1" x14ac:dyDescent="0.25">
      <c r="B20" s="42" t="s">
        <v>92</v>
      </c>
      <c r="C20" s="35">
        <f>SUM(C17:C19)</f>
        <v>0</v>
      </c>
      <c r="D20" s="35">
        <f t="shared" ref="D20:G20" si="1">SUM(D17:D19)</f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</row>
    <row r="21" spans="1:8" hidden="1" outlineLevel="1" x14ac:dyDescent="0.25">
      <c r="B21" s="42" t="s">
        <v>93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idden="1" outlineLevel="1" x14ac:dyDescent="0.25">
      <c r="B22" s="42" t="s">
        <v>94</v>
      </c>
      <c r="C22" s="41">
        <f>C20+C21</f>
        <v>0</v>
      </c>
      <c r="D22" s="41">
        <f t="shared" ref="D22:G22" si="2">D20+D21</f>
        <v>0</v>
      </c>
      <c r="E22" s="41">
        <f t="shared" si="2"/>
        <v>0</v>
      </c>
      <c r="F22" s="41">
        <f t="shared" si="2"/>
        <v>0</v>
      </c>
      <c r="G22" s="41">
        <f t="shared" si="2"/>
        <v>0</v>
      </c>
    </row>
    <row r="23" spans="1:8" hidden="1" outlineLevel="1" x14ac:dyDescent="0.25">
      <c r="B23" s="42"/>
      <c r="C23" s="35"/>
      <c r="D23" s="35"/>
      <c r="E23" s="35"/>
      <c r="F23" s="35"/>
      <c r="G23" s="35"/>
    </row>
    <row r="24" spans="1:8" hidden="1" outlineLevel="1" x14ac:dyDescent="0.25">
      <c r="B24" s="42" t="s">
        <v>95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idden="1" outlineLevel="1" x14ac:dyDescent="0.25">
      <c r="B25" s="42" t="s">
        <v>16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collapsed="1" x14ac:dyDescent="0.25">
      <c r="B26" s="43" t="s">
        <v>78</v>
      </c>
      <c r="C26" s="41">
        <f>C14-C22</f>
        <v>1.4901161193847656E-7</v>
      </c>
      <c r="D26" s="41">
        <f t="shared" ref="D26:F26" si="3">D14-D22</f>
        <v>201407329.4189716</v>
      </c>
      <c r="E26" s="41">
        <f t="shared" si="3"/>
        <v>228231615.65887114</v>
      </c>
      <c r="F26" s="41">
        <f t="shared" si="3"/>
        <v>364741910.8458941</v>
      </c>
      <c r="G26" s="41">
        <f>G14-G22</f>
        <v>515936860.74436986</v>
      </c>
      <c r="H26" s="44">
        <f>G26</f>
        <v>515936860.74436986</v>
      </c>
    </row>
    <row r="27" spans="1:8" x14ac:dyDescent="0.25">
      <c r="G27" s="92">
        <f>H26/G28</f>
        <v>2499331326.4534454</v>
      </c>
    </row>
    <row r="28" spans="1:8" x14ac:dyDescent="0.25">
      <c r="B28" t="s">
        <v>96</v>
      </c>
      <c r="C28" s="33">
        <f>C30+C31*RiesgoInversionista</f>
        <v>0.1689299579986</v>
      </c>
      <c r="D28" s="33">
        <f>D30+D31*RiesgoInversionista</f>
        <v>0.18167995799859998</v>
      </c>
      <c r="E28" s="33">
        <f>E30+E31*RiesgoInversionista</f>
        <v>0.19442995799859999</v>
      </c>
      <c r="F28" s="33">
        <f>F30+F31*RiesgoInversionista</f>
        <v>0.2004299579986</v>
      </c>
      <c r="G28" s="33">
        <f>G30+G31*RiesgoInversionista</f>
        <v>0.20642995799859998</v>
      </c>
    </row>
    <row r="29" spans="1:8" x14ac:dyDescent="0.25">
      <c r="B29" s="7" t="s">
        <v>97</v>
      </c>
      <c r="C29" s="7">
        <v>1</v>
      </c>
      <c r="D29" s="45">
        <f>1/(1+D28)</f>
        <v>0.84625282271325852</v>
      </c>
      <c r="E29" s="45">
        <f>1/(1+E28)*D29</f>
        <v>0.70849932810731664</v>
      </c>
      <c r="F29" s="45">
        <f>1/(1+F28)*E29</f>
        <v>0.59020463741887297</v>
      </c>
      <c r="G29" s="45">
        <f t="shared" ref="G29" si="4">1/(1+G28)*F29</f>
        <v>0.48921583346453823</v>
      </c>
    </row>
    <row r="30" spans="1:8" x14ac:dyDescent="0.25">
      <c r="B30" t="s">
        <v>98</v>
      </c>
      <c r="C30" s="46">
        <v>0.04</v>
      </c>
      <c r="D30" s="47">
        <f>AVERAGE(C30,E30)</f>
        <v>5.2750000000000005E-2</v>
      </c>
      <c r="E30" s="47">
        <v>6.5500000000000003E-2</v>
      </c>
      <c r="F30" s="47">
        <f>AVERAGE(E30,G30)</f>
        <v>7.1500000000000008E-2</v>
      </c>
      <c r="G30" s="47">
        <v>7.7499999999999999E-2</v>
      </c>
    </row>
    <row r="31" spans="1:8" x14ac:dyDescent="0.25">
      <c r="A31" s="48">
        <v>26</v>
      </c>
      <c r="B31" t="s">
        <v>99</v>
      </c>
      <c r="C31" s="49">
        <f>VLOOKUP($A$31,betas,4)</f>
        <v>1.6056034619999999</v>
      </c>
      <c r="D31" s="49">
        <f>VLOOKUP($A$31,betas,4)</f>
        <v>1.6056034619999999</v>
      </c>
      <c r="E31" s="49">
        <f>VLOOKUP($A$31,betas,4)</f>
        <v>1.6056034619999999</v>
      </c>
      <c r="F31" s="49">
        <f>VLOOKUP($A$31,betas,4)</f>
        <v>1.6056034619999999</v>
      </c>
      <c r="G31" s="49">
        <f>VLOOKUP($A$31,betas,4)</f>
        <v>1.6056034619999999</v>
      </c>
    </row>
    <row r="32" spans="1:8" x14ac:dyDescent="0.25">
      <c r="B32" t="s">
        <v>100</v>
      </c>
      <c r="C32" s="93">
        <v>8.0299999999999996E-2</v>
      </c>
    </row>
    <row r="34" spans="2:7" x14ac:dyDescent="0.25">
      <c r="B34" t="s">
        <v>101</v>
      </c>
      <c r="C34" s="50">
        <f>SUM(C26:C27)*C29</f>
        <v>1.4901161193847656E-7</v>
      </c>
      <c r="D34" s="50">
        <f t="shared" ref="D34:F34" si="5">SUM(D26:D27)*D29</f>
        <v>170441521.03594384</v>
      </c>
      <c r="E34" s="50">
        <f t="shared" si="5"/>
        <v>161701946.34715754</v>
      </c>
      <c r="F34" s="50">
        <f t="shared" si="5"/>
        <v>215272367.24226782</v>
      </c>
      <c r="G34" s="50">
        <f>SUM(G26:G27)*G29</f>
        <v>1475116939.3190866</v>
      </c>
    </row>
    <row r="36" spans="2:7" ht="18.75" x14ac:dyDescent="0.3">
      <c r="B36" s="53" t="s">
        <v>236</v>
      </c>
      <c r="C36" s="54">
        <f>SUM(C34:G34)</f>
        <v>2022532773.9444559</v>
      </c>
      <c r="D36" s="51"/>
      <c r="E36" s="35"/>
    </row>
  </sheetData>
  <pageMargins left="0.7" right="0.7" top="0.75" bottom="0.75" header="0.3" footer="0.3"/>
  <pageSetup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1</xdr:col>
                    <xdr:colOff>866775</xdr:colOff>
                    <xdr:row>30</xdr:row>
                    <xdr:rowOff>9525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1707-C537-4EED-A816-16E2300DC3D2}">
  <dimension ref="B1:H177"/>
  <sheetViews>
    <sheetView showGridLines="0" zoomScale="110" zoomScaleNormal="110" workbookViewId="0"/>
  </sheetViews>
  <sheetFormatPr baseColWidth="10" defaultRowHeight="15" outlineLevelRow="1" x14ac:dyDescent="0.25"/>
  <cols>
    <col min="1" max="1" width="3" customWidth="1"/>
    <col min="2" max="2" width="9.7109375" bestFit="1" customWidth="1"/>
    <col min="3" max="3" width="88.140625" bestFit="1" customWidth="1"/>
    <col min="4" max="4" width="12.85546875" customWidth="1"/>
    <col min="5" max="5" width="6.140625" customWidth="1"/>
    <col min="6" max="6" width="15" bestFit="1" customWidth="1"/>
    <col min="7" max="8" width="15.140625" bestFit="1" customWidth="1"/>
  </cols>
  <sheetData>
    <row r="1" spans="2:8" ht="6.75" customHeight="1" x14ac:dyDescent="0.25"/>
    <row r="2" spans="2:8" s="102" customFormat="1" ht="7.5" customHeight="1" x14ac:dyDescent="0.25"/>
    <row r="3" spans="2:8" s="102" customFormat="1" ht="24.75" customHeight="1" x14ac:dyDescent="0.45">
      <c r="C3" s="124" t="s">
        <v>428</v>
      </c>
    </row>
    <row r="4" spans="2:8" s="102" customFormat="1" x14ac:dyDescent="0.25"/>
    <row r="5" spans="2:8" ht="6.75" customHeight="1" x14ac:dyDescent="0.25"/>
    <row r="6" spans="2:8" x14ac:dyDescent="0.25">
      <c r="B6" s="55"/>
      <c r="C6" s="106" t="s">
        <v>443</v>
      </c>
      <c r="D6" s="55"/>
      <c r="F6" s="102"/>
      <c r="G6" s="118" t="s">
        <v>429</v>
      </c>
      <c r="H6" s="102"/>
    </row>
    <row r="7" spans="2:8" ht="6.75" customHeight="1" x14ac:dyDescent="0.25"/>
    <row r="8" spans="2:8" ht="26.25" thickBot="1" x14ac:dyDescent="0.3">
      <c r="B8" s="127" t="s">
        <v>249</v>
      </c>
      <c r="C8" s="128" t="s">
        <v>250</v>
      </c>
      <c r="D8" s="128" t="s">
        <v>251</v>
      </c>
      <c r="F8" s="126" t="s">
        <v>431</v>
      </c>
      <c r="G8" s="126" t="s">
        <v>432</v>
      </c>
      <c r="H8" s="126" t="s">
        <v>433</v>
      </c>
    </row>
    <row r="9" spans="2:8" outlineLevel="1" x14ac:dyDescent="0.25">
      <c r="B9" s="111">
        <v>2</v>
      </c>
      <c r="C9" s="112" t="s">
        <v>252</v>
      </c>
      <c r="D9" s="113">
        <v>0.04</v>
      </c>
      <c r="F9" t="s">
        <v>434</v>
      </c>
    </row>
    <row r="10" spans="2:8" outlineLevel="1" x14ac:dyDescent="0.25">
      <c r="B10" s="114">
        <v>4</v>
      </c>
      <c r="C10" s="115" t="s">
        <v>253</v>
      </c>
      <c r="D10" s="116">
        <v>0.1</v>
      </c>
      <c r="F10" t="s">
        <v>435</v>
      </c>
    </row>
    <row r="11" spans="2:8" outlineLevel="1" x14ac:dyDescent="0.25">
      <c r="B11" s="111">
        <v>6</v>
      </c>
      <c r="C11" s="112" t="s">
        <v>254</v>
      </c>
      <c r="D11" s="113">
        <v>0.1</v>
      </c>
      <c r="F11" t="s">
        <v>436</v>
      </c>
    </row>
    <row r="12" spans="2:8" outlineLevel="1" x14ac:dyDescent="0.25">
      <c r="B12" s="114">
        <v>7</v>
      </c>
      <c r="C12" s="115" t="s">
        <v>255</v>
      </c>
      <c r="D12" s="116">
        <v>0.1</v>
      </c>
      <c r="F12" s="118" t="s">
        <v>437</v>
      </c>
      <c r="G12" s="118">
        <f>MAX(G9:G11)</f>
        <v>0</v>
      </c>
      <c r="H12" s="118">
        <f>MIN(H9:H11)</f>
        <v>0</v>
      </c>
    </row>
    <row r="13" spans="2:8" outlineLevel="1" x14ac:dyDescent="0.25">
      <c r="B13" s="111">
        <v>9</v>
      </c>
      <c r="C13" s="112" t="s">
        <v>256</v>
      </c>
      <c r="D13" s="113">
        <v>7.0000000000000007E-2</v>
      </c>
    </row>
    <row r="14" spans="2:8" outlineLevel="1" x14ac:dyDescent="0.25">
      <c r="B14" s="114">
        <v>10</v>
      </c>
      <c r="C14" s="115" t="s">
        <v>257</v>
      </c>
      <c r="D14" s="116">
        <v>0.08</v>
      </c>
      <c r="F14" s="125"/>
      <c r="G14" s="106" t="s">
        <v>430</v>
      </c>
      <c r="H14" s="125"/>
    </row>
    <row r="15" spans="2:8" outlineLevel="1" x14ac:dyDescent="0.25">
      <c r="B15" s="111">
        <v>13</v>
      </c>
      <c r="C15" s="112" t="s">
        <v>258</v>
      </c>
      <c r="D15" s="113">
        <v>0.1</v>
      </c>
    </row>
    <row r="16" spans="2:8" outlineLevel="1" x14ac:dyDescent="0.25">
      <c r="B16" s="114">
        <v>14</v>
      </c>
      <c r="C16" s="115" t="s">
        <v>259</v>
      </c>
      <c r="D16" s="116">
        <v>0.1</v>
      </c>
      <c r="F16" s="118" t="s">
        <v>418</v>
      </c>
      <c r="G16" s="93">
        <f>C177</f>
        <v>6.8808982035928251E-2</v>
      </c>
    </row>
    <row r="17" spans="2:8" outlineLevel="1" x14ac:dyDescent="0.25">
      <c r="B17" s="111">
        <v>16</v>
      </c>
      <c r="C17" s="112" t="s">
        <v>260</v>
      </c>
      <c r="D17" s="113">
        <v>0.08</v>
      </c>
    </row>
    <row r="18" spans="2:8" outlineLevel="1" x14ac:dyDescent="0.25">
      <c r="B18" s="114">
        <v>18</v>
      </c>
      <c r="C18" s="115" t="s">
        <v>261</v>
      </c>
      <c r="D18" s="116">
        <v>0.1</v>
      </c>
      <c r="F18" s="123"/>
      <c r="G18" s="130" t="s">
        <v>442</v>
      </c>
      <c r="H18" s="123"/>
    </row>
    <row r="19" spans="2:8" outlineLevel="1" x14ac:dyDescent="0.25">
      <c r="B19" s="111">
        <v>19</v>
      </c>
      <c r="C19" s="112" t="s">
        <v>262</v>
      </c>
      <c r="D19" s="113">
        <v>0.1</v>
      </c>
      <c r="F19" s="7" t="s">
        <v>441</v>
      </c>
      <c r="G19" s="7">
        <v>2019</v>
      </c>
      <c r="H19" s="7">
        <v>2020</v>
      </c>
    </row>
    <row r="20" spans="2:8" outlineLevel="1" x14ac:dyDescent="0.25">
      <c r="B20" s="114">
        <v>20</v>
      </c>
      <c r="C20" s="115" t="s">
        <v>263</v>
      </c>
      <c r="D20" s="116">
        <v>0.1</v>
      </c>
      <c r="F20" s="7" t="s">
        <v>438</v>
      </c>
      <c r="G20" s="35">
        <v>53115576042</v>
      </c>
      <c r="H20" s="35">
        <v>15239886077</v>
      </c>
    </row>
    <row r="21" spans="2:8" ht="15.75" outlineLevel="1" thickBot="1" x14ac:dyDescent="0.3">
      <c r="B21" s="111">
        <v>21</v>
      </c>
      <c r="C21" s="112" t="s">
        <v>264</v>
      </c>
      <c r="D21" s="113">
        <v>0.1</v>
      </c>
      <c r="F21" s="7" t="s">
        <v>439</v>
      </c>
      <c r="G21" s="35">
        <f>-1*'Proyección y Escenarios'!J33+'Proyección y Escenarios'!J48</f>
        <v>2547521186</v>
      </c>
      <c r="H21" s="35">
        <v>1734050789</v>
      </c>
    </row>
    <row r="22" spans="2:8" ht="15.75" outlineLevel="1" thickBot="1" x14ac:dyDescent="0.3">
      <c r="B22" s="114">
        <v>22</v>
      </c>
      <c r="C22" s="115" t="s">
        <v>265</v>
      </c>
      <c r="D22" s="116">
        <v>0.1</v>
      </c>
      <c r="F22" s="7" t="s">
        <v>440</v>
      </c>
      <c r="G22" s="98">
        <f>G21/G20</f>
        <v>4.7961848027132423E-2</v>
      </c>
      <c r="H22" s="129">
        <f>H21/H20</f>
        <v>0.1137837107337059</v>
      </c>
    </row>
    <row r="23" spans="2:8" outlineLevel="1" x14ac:dyDescent="0.25">
      <c r="B23" s="111">
        <v>23</v>
      </c>
      <c r="C23" s="112" t="s">
        <v>266</v>
      </c>
      <c r="D23" s="113">
        <v>0.1</v>
      </c>
      <c r="F23" s="118" t="s">
        <v>418</v>
      </c>
      <c r="G23" s="93">
        <f>AVERAGE(G22:H22)</f>
        <v>8.087277938041916E-2</v>
      </c>
    </row>
    <row r="24" spans="2:8" outlineLevel="1" x14ac:dyDescent="0.25">
      <c r="B24" s="114">
        <v>24</v>
      </c>
      <c r="C24" s="115" t="s">
        <v>267</v>
      </c>
      <c r="D24" s="116">
        <v>0.08</v>
      </c>
    </row>
    <row r="25" spans="2:8" outlineLevel="1" x14ac:dyDescent="0.25">
      <c r="B25" s="111">
        <v>25</v>
      </c>
      <c r="C25" s="112" t="s">
        <v>268</v>
      </c>
      <c r="D25" s="113">
        <v>0.06</v>
      </c>
    </row>
    <row r="26" spans="2:8" outlineLevel="1" x14ac:dyDescent="0.25">
      <c r="B26" s="114">
        <v>26</v>
      </c>
      <c r="C26" s="115" t="s">
        <v>269</v>
      </c>
      <c r="D26" s="116">
        <v>0.1</v>
      </c>
    </row>
    <row r="27" spans="2:8" outlineLevel="1" x14ac:dyDescent="0.25">
      <c r="B27" s="111">
        <v>27</v>
      </c>
      <c r="C27" s="112" t="s">
        <v>270</v>
      </c>
      <c r="D27" s="113">
        <v>0.1</v>
      </c>
    </row>
    <row r="28" spans="2:8" outlineLevel="1" x14ac:dyDescent="0.25">
      <c r="B28" s="114">
        <v>29</v>
      </c>
      <c r="C28" s="115" t="s">
        <v>271</v>
      </c>
      <c r="D28" s="116">
        <v>0.1</v>
      </c>
    </row>
    <row r="29" spans="2:8" outlineLevel="1" x14ac:dyDescent="0.25">
      <c r="B29" s="111">
        <v>30</v>
      </c>
      <c r="C29" s="112" t="s">
        <v>272</v>
      </c>
      <c r="D29" s="113">
        <v>0.1</v>
      </c>
    </row>
    <row r="30" spans="2:8" outlineLevel="1" x14ac:dyDescent="0.25">
      <c r="B30" s="114">
        <v>31</v>
      </c>
      <c r="C30" s="115" t="s">
        <v>273</v>
      </c>
      <c r="D30" s="116">
        <v>0.1</v>
      </c>
    </row>
    <row r="31" spans="2:8" outlineLevel="1" x14ac:dyDescent="0.25">
      <c r="B31" s="111">
        <v>32</v>
      </c>
      <c r="C31" s="112" t="s">
        <v>274</v>
      </c>
      <c r="D31" s="113">
        <v>0.08</v>
      </c>
    </row>
    <row r="32" spans="2:8" outlineLevel="1" x14ac:dyDescent="0.25">
      <c r="B32" s="114">
        <v>34</v>
      </c>
      <c r="C32" s="115" t="s">
        <v>275</v>
      </c>
      <c r="D32" s="116">
        <v>0.08</v>
      </c>
    </row>
    <row r="33" spans="2:4" outlineLevel="1" x14ac:dyDescent="0.25">
      <c r="B33" s="111">
        <v>36</v>
      </c>
      <c r="C33" s="112" t="s">
        <v>276</v>
      </c>
      <c r="D33" s="113">
        <v>0.1</v>
      </c>
    </row>
    <row r="34" spans="2:4" outlineLevel="1" x14ac:dyDescent="0.25">
      <c r="B34" s="114">
        <v>37</v>
      </c>
      <c r="C34" s="115" t="s">
        <v>277</v>
      </c>
      <c r="D34" s="116">
        <v>0.1</v>
      </c>
    </row>
    <row r="35" spans="2:4" outlineLevel="1" x14ac:dyDescent="0.25">
      <c r="B35" s="111">
        <v>38</v>
      </c>
      <c r="C35" s="112" t="s">
        <v>278</v>
      </c>
      <c r="D35" s="113">
        <v>0.1</v>
      </c>
    </row>
    <row r="36" spans="2:4" outlineLevel="1" x14ac:dyDescent="0.25">
      <c r="B36" s="114">
        <v>39</v>
      </c>
      <c r="C36" s="115" t="s">
        <v>279</v>
      </c>
      <c r="D36" s="116">
        <v>0.1</v>
      </c>
    </row>
    <row r="37" spans="2:4" outlineLevel="1" x14ac:dyDescent="0.25">
      <c r="B37" s="111">
        <v>40</v>
      </c>
      <c r="C37" s="112" t="s">
        <v>280</v>
      </c>
      <c r="D37" s="113">
        <v>0.1</v>
      </c>
    </row>
    <row r="38" spans="2:4" outlineLevel="1" x14ac:dyDescent="0.25">
      <c r="B38" s="114">
        <v>43</v>
      </c>
      <c r="C38" s="115" t="s">
        <v>281</v>
      </c>
      <c r="D38" s="116">
        <v>0.1</v>
      </c>
    </row>
    <row r="39" spans="2:4" outlineLevel="1" x14ac:dyDescent="0.25">
      <c r="B39" s="111">
        <v>44</v>
      </c>
      <c r="C39" s="112" t="s">
        <v>282</v>
      </c>
      <c r="D39" s="113">
        <v>0.05</v>
      </c>
    </row>
    <row r="40" spans="2:4" outlineLevel="1" x14ac:dyDescent="0.25">
      <c r="B40" s="114">
        <v>45</v>
      </c>
      <c r="C40" s="115" t="s">
        <v>283</v>
      </c>
      <c r="D40" s="116">
        <v>0.05</v>
      </c>
    </row>
    <row r="41" spans="2:4" outlineLevel="1" x14ac:dyDescent="0.25">
      <c r="B41" s="111">
        <v>46</v>
      </c>
      <c r="C41" s="112" t="s">
        <v>284</v>
      </c>
      <c r="D41" s="113">
        <v>0.1</v>
      </c>
    </row>
    <row r="42" spans="2:4" outlineLevel="1" x14ac:dyDescent="0.25">
      <c r="B42" s="114">
        <v>47</v>
      </c>
      <c r="C42" s="115" t="s">
        <v>285</v>
      </c>
      <c r="D42" s="116">
        <v>0.1</v>
      </c>
    </row>
    <row r="43" spans="2:4" outlineLevel="1" x14ac:dyDescent="0.25">
      <c r="B43" s="111">
        <v>49</v>
      </c>
      <c r="C43" s="112" t="s">
        <v>286</v>
      </c>
      <c r="D43" s="113">
        <v>0.05</v>
      </c>
    </row>
    <row r="44" spans="2:4" outlineLevel="1" x14ac:dyDescent="0.25">
      <c r="B44" s="114">
        <v>50</v>
      </c>
      <c r="C44" s="115" t="s">
        <v>287</v>
      </c>
      <c r="D44" s="116">
        <v>0.08</v>
      </c>
    </row>
    <row r="45" spans="2:4" outlineLevel="1" x14ac:dyDescent="0.25">
      <c r="B45" s="111">
        <v>51</v>
      </c>
      <c r="C45" s="112" t="s">
        <v>288</v>
      </c>
      <c r="D45" s="113">
        <v>0.08</v>
      </c>
    </row>
    <row r="46" spans="2:4" outlineLevel="1" x14ac:dyDescent="0.25">
      <c r="B46" s="114">
        <v>77</v>
      </c>
      <c r="C46" s="115" t="s">
        <v>289</v>
      </c>
      <c r="D46" s="116">
        <v>9.4600000000000004E-2</v>
      </c>
    </row>
    <row r="47" spans="2:4" outlineLevel="1" x14ac:dyDescent="0.25">
      <c r="B47" s="111">
        <v>149</v>
      </c>
      <c r="C47" s="112" t="s">
        <v>290</v>
      </c>
      <c r="D47" s="113">
        <v>8.5500000000000007E-2</v>
      </c>
    </row>
    <row r="48" spans="2:4" outlineLevel="1" x14ac:dyDescent="0.25">
      <c r="B48" s="114">
        <v>189</v>
      </c>
      <c r="C48" s="115" t="s">
        <v>291</v>
      </c>
      <c r="D48" s="116">
        <v>0.05</v>
      </c>
    </row>
    <row r="49" spans="2:4" outlineLevel="1" x14ac:dyDescent="0.25">
      <c r="B49" s="111">
        <v>191</v>
      </c>
      <c r="C49" s="112" t="s">
        <v>292</v>
      </c>
      <c r="D49" s="113">
        <v>0.08</v>
      </c>
    </row>
    <row r="50" spans="2:4" outlineLevel="1" x14ac:dyDescent="0.25">
      <c r="B50" s="114">
        <v>192</v>
      </c>
      <c r="C50" s="115" t="s">
        <v>293</v>
      </c>
      <c r="D50" s="116">
        <v>0.04</v>
      </c>
    </row>
    <row r="51" spans="2:4" outlineLevel="1" x14ac:dyDescent="0.25">
      <c r="B51" s="111">
        <v>199</v>
      </c>
      <c r="C51" s="112" t="s">
        <v>294</v>
      </c>
      <c r="D51" s="113">
        <v>0.05</v>
      </c>
    </row>
    <row r="52" spans="2:4" outlineLevel="1" x14ac:dyDescent="0.25">
      <c r="B52" s="114">
        <v>203</v>
      </c>
      <c r="C52" s="115" t="s">
        <v>295</v>
      </c>
      <c r="D52" s="116">
        <v>0.05</v>
      </c>
    </row>
    <row r="53" spans="2:4" outlineLevel="1" x14ac:dyDescent="0.25">
      <c r="B53" s="111">
        <v>205</v>
      </c>
      <c r="C53" s="112" t="s">
        <v>296</v>
      </c>
      <c r="D53" s="113">
        <v>0.08</v>
      </c>
    </row>
    <row r="54" spans="2:4" outlineLevel="1" x14ac:dyDescent="0.25">
      <c r="B54" s="114">
        <v>206</v>
      </c>
      <c r="C54" s="115" t="s">
        <v>297</v>
      </c>
      <c r="D54" s="116">
        <v>0.08</v>
      </c>
    </row>
    <row r="55" spans="2:4" outlineLevel="1" x14ac:dyDescent="0.25">
      <c r="B55" s="111">
        <v>207</v>
      </c>
      <c r="C55" s="112" t="s">
        <v>298</v>
      </c>
      <c r="D55" s="113">
        <v>5.5E-2</v>
      </c>
    </row>
    <row r="56" spans="2:4" outlineLevel="1" x14ac:dyDescent="0.25">
      <c r="B56" s="114">
        <v>208</v>
      </c>
      <c r="C56" s="115" t="s">
        <v>299</v>
      </c>
      <c r="D56" s="116">
        <v>0.06</v>
      </c>
    </row>
    <row r="57" spans="2:4" outlineLevel="1" x14ac:dyDescent="0.25">
      <c r="B57" s="111">
        <v>209</v>
      </c>
      <c r="C57" s="112" t="s">
        <v>300</v>
      </c>
      <c r="D57" s="113">
        <v>0.06</v>
      </c>
    </row>
    <row r="58" spans="2:4" outlineLevel="1" x14ac:dyDescent="0.25">
      <c r="B58" s="114">
        <v>210</v>
      </c>
      <c r="C58" s="115" t="s">
        <v>301</v>
      </c>
      <c r="D58" s="116">
        <v>0.1</v>
      </c>
    </row>
    <row r="59" spans="2:4" outlineLevel="1" x14ac:dyDescent="0.25">
      <c r="B59" s="111">
        <v>211</v>
      </c>
      <c r="C59" s="112" t="s">
        <v>302</v>
      </c>
      <c r="D59" s="113">
        <v>0.1</v>
      </c>
    </row>
    <row r="60" spans="2:4" outlineLevel="1" x14ac:dyDescent="0.25">
      <c r="B60" s="114">
        <v>212</v>
      </c>
      <c r="C60" s="115" t="s">
        <v>303</v>
      </c>
      <c r="D60" s="116">
        <v>0.1</v>
      </c>
    </row>
    <row r="61" spans="2:4" outlineLevel="1" x14ac:dyDescent="0.25">
      <c r="B61" s="111">
        <v>213</v>
      </c>
      <c r="C61" s="112" t="s">
        <v>304</v>
      </c>
      <c r="D61" s="113">
        <v>0.04</v>
      </c>
    </row>
    <row r="62" spans="2:4" outlineLevel="1" x14ac:dyDescent="0.25">
      <c r="B62" s="114">
        <v>214</v>
      </c>
      <c r="C62" s="115" t="s">
        <v>305</v>
      </c>
      <c r="D62" s="116">
        <v>3.5000000000000003E-2</v>
      </c>
    </row>
    <row r="63" spans="2:4" outlineLevel="1" x14ac:dyDescent="0.25">
      <c r="B63" s="111">
        <v>215</v>
      </c>
      <c r="C63" s="112" t="s">
        <v>306</v>
      </c>
      <c r="D63" s="113">
        <v>0.06</v>
      </c>
    </row>
    <row r="64" spans="2:4" outlineLevel="1" x14ac:dyDescent="0.25">
      <c r="B64" s="114">
        <v>216</v>
      </c>
      <c r="C64" s="115" t="s">
        <v>307</v>
      </c>
      <c r="D64" s="116">
        <v>0.08</v>
      </c>
    </row>
    <row r="65" spans="2:4" outlineLevel="1" x14ac:dyDescent="0.25">
      <c r="B65" s="111">
        <v>217</v>
      </c>
      <c r="C65" s="112" t="s">
        <v>308</v>
      </c>
      <c r="D65" s="113">
        <v>0.1</v>
      </c>
    </row>
    <row r="66" spans="2:4" outlineLevel="1" x14ac:dyDescent="0.25">
      <c r="B66" s="114">
        <v>218</v>
      </c>
      <c r="C66" s="115" t="s">
        <v>309</v>
      </c>
      <c r="D66" s="116">
        <v>0.1</v>
      </c>
    </row>
    <row r="67" spans="2:4" outlineLevel="1" x14ac:dyDescent="0.25">
      <c r="B67" s="111">
        <v>219</v>
      </c>
      <c r="C67" s="112" t="s">
        <v>310</v>
      </c>
      <c r="D67" s="113">
        <v>0.06</v>
      </c>
    </row>
    <row r="68" spans="2:4" outlineLevel="1" x14ac:dyDescent="0.25">
      <c r="B68" s="114">
        <v>220</v>
      </c>
      <c r="C68" s="115" t="s">
        <v>311</v>
      </c>
      <c r="D68" s="116">
        <v>0.04</v>
      </c>
    </row>
    <row r="69" spans="2:4" outlineLevel="1" x14ac:dyDescent="0.25">
      <c r="B69" s="111">
        <v>221</v>
      </c>
      <c r="C69" s="112" t="s">
        <v>312</v>
      </c>
      <c r="D69" s="113">
        <v>0.1</v>
      </c>
    </row>
    <row r="70" spans="2:4" outlineLevel="1" x14ac:dyDescent="0.25">
      <c r="B70" s="114">
        <v>224</v>
      </c>
      <c r="C70" s="115" t="s">
        <v>313</v>
      </c>
      <c r="D70" s="116">
        <v>0.06</v>
      </c>
    </row>
    <row r="71" spans="2:4" outlineLevel="1" x14ac:dyDescent="0.25">
      <c r="B71" s="111">
        <v>225</v>
      </c>
      <c r="C71" s="112" t="s">
        <v>314</v>
      </c>
      <c r="D71" s="113">
        <v>0.08</v>
      </c>
    </row>
    <row r="72" spans="2:4" outlineLevel="1" x14ac:dyDescent="0.25">
      <c r="B72" s="114">
        <v>227</v>
      </c>
      <c r="C72" s="115" t="s">
        <v>315</v>
      </c>
      <c r="D72" s="116">
        <v>0.1</v>
      </c>
    </row>
    <row r="73" spans="2:4" outlineLevel="1" x14ac:dyDescent="0.25">
      <c r="B73" s="111">
        <v>228</v>
      </c>
      <c r="C73" s="112" t="s">
        <v>316</v>
      </c>
      <c r="D73" s="113">
        <v>0.1</v>
      </c>
    </row>
    <row r="74" spans="2:4" outlineLevel="1" x14ac:dyDescent="0.25">
      <c r="B74" s="114">
        <v>229</v>
      </c>
      <c r="C74" s="115" t="s">
        <v>317</v>
      </c>
      <c r="D74" s="116">
        <v>7.0000000000000007E-2</v>
      </c>
    </row>
    <row r="75" spans="2:4" outlineLevel="1" x14ac:dyDescent="0.25">
      <c r="B75" s="111">
        <v>230</v>
      </c>
      <c r="C75" s="112" t="s">
        <v>318</v>
      </c>
      <c r="D75" s="113">
        <v>0.08</v>
      </c>
    </row>
    <row r="76" spans="2:4" outlineLevel="1" x14ac:dyDescent="0.25">
      <c r="B76" s="114">
        <v>231</v>
      </c>
      <c r="C76" s="115" t="s">
        <v>319</v>
      </c>
      <c r="D76" s="116">
        <v>0.08</v>
      </c>
    </row>
    <row r="77" spans="2:4" outlineLevel="1" x14ac:dyDescent="0.25">
      <c r="B77" s="111">
        <v>232</v>
      </c>
      <c r="C77" s="112" t="s">
        <v>320</v>
      </c>
      <c r="D77" s="113">
        <v>0.08</v>
      </c>
    </row>
    <row r="78" spans="2:4" outlineLevel="1" x14ac:dyDescent="0.25">
      <c r="B78" s="114">
        <v>235</v>
      </c>
      <c r="C78" s="115" t="s">
        <v>321</v>
      </c>
      <c r="D78" s="116">
        <v>0.1</v>
      </c>
    </row>
    <row r="79" spans="2:4" outlineLevel="1" x14ac:dyDescent="0.25">
      <c r="B79" s="111">
        <v>236</v>
      </c>
      <c r="C79" s="112" t="s">
        <v>322</v>
      </c>
      <c r="D79" s="113">
        <v>0.08</v>
      </c>
    </row>
    <row r="80" spans="2:4" outlineLevel="1" x14ac:dyDescent="0.25">
      <c r="B80" s="114">
        <v>237</v>
      </c>
      <c r="C80" s="115" t="s">
        <v>323</v>
      </c>
      <c r="D80" s="116">
        <v>0.06</v>
      </c>
    </row>
    <row r="81" spans="2:4" outlineLevel="1" x14ac:dyDescent="0.25">
      <c r="B81" s="111">
        <v>238</v>
      </c>
      <c r="C81" s="112" t="s">
        <v>324</v>
      </c>
      <c r="D81" s="113">
        <v>0.08</v>
      </c>
    </row>
    <row r="82" spans="2:4" outlineLevel="1" x14ac:dyDescent="0.25">
      <c r="B82" s="114">
        <v>239</v>
      </c>
      <c r="C82" s="115" t="s">
        <v>325</v>
      </c>
      <c r="D82" s="116">
        <v>0.1</v>
      </c>
    </row>
    <row r="83" spans="2:4" outlineLevel="1" x14ac:dyDescent="0.25">
      <c r="B83" s="111">
        <v>240</v>
      </c>
      <c r="C83" s="112" t="s">
        <v>326</v>
      </c>
      <c r="D83" s="113">
        <v>0.06</v>
      </c>
    </row>
    <row r="84" spans="2:4" outlineLevel="1" x14ac:dyDescent="0.25">
      <c r="B84" s="114">
        <v>241</v>
      </c>
      <c r="C84" s="115" t="s">
        <v>327</v>
      </c>
      <c r="D84" s="116">
        <v>0.08</v>
      </c>
    </row>
    <row r="85" spans="2:4" outlineLevel="1" x14ac:dyDescent="0.25">
      <c r="B85" s="111">
        <v>242</v>
      </c>
      <c r="C85" s="112" t="s">
        <v>328</v>
      </c>
      <c r="D85" s="113">
        <v>0.08</v>
      </c>
    </row>
    <row r="86" spans="2:4" outlineLevel="1" x14ac:dyDescent="0.25">
      <c r="B86" s="114">
        <v>243</v>
      </c>
      <c r="C86" s="115" t="s">
        <v>329</v>
      </c>
      <c r="D86" s="116">
        <v>0.08</v>
      </c>
    </row>
    <row r="87" spans="2:4" outlineLevel="1" x14ac:dyDescent="0.25">
      <c r="B87" s="111">
        <v>244</v>
      </c>
      <c r="C87" s="112" t="s">
        <v>330</v>
      </c>
      <c r="D87" s="113">
        <v>0.06</v>
      </c>
    </row>
    <row r="88" spans="2:4" outlineLevel="1" x14ac:dyDescent="0.25">
      <c r="B88" s="114">
        <v>245</v>
      </c>
      <c r="C88" s="115" t="s">
        <v>331</v>
      </c>
      <c r="D88" s="116">
        <v>3.5000000000000003E-2</v>
      </c>
    </row>
    <row r="89" spans="2:4" outlineLevel="1" x14ac:dyDescent="0.25">
      <c r="B89" s="111">
        <v>246</v>
      </c>
      <c r="C89" s="112" t="s">
        <v>332</v>
      </c>
      <c r="D89" s="113">
        <v>0.06</v>
      </c>
    </row>
    <row r="90" spans="2:4" outlineLevel="1" x14ac:dyDescent="0.25">
      <c r="B90" s="114">
        <v>247</v>
      </c>
      <c r="C90" s="115" t="s">
        <v>333</v>
      </c>
      <c r="D90" s="116">
        <v>0.1</v>
      </c>
    </row>
    <row r="91" spans="2:4" outlineLevel="1" x14ac:dyDescent="0.25">
      <c r="B91" s="111">
        <v>251</v>
      </c>
      <c r="C91" s="112" t="s">
        <v>334</v>
      </c>
      <c r="D91" s="113">
        <v>0.04</v>
      </c>
    </row>
    <row r="92" spans="2:4" outlineLevel="1" x14ac:dyDescent="0.25">
      <c r="B92" s="114">
        <v>254</v>
      </c>
      <c r="C92" s="115" t="s">
        <v>335</v>
      </c>
      <c r="D92" s="116">
        <v>0.03</v>
      </c>
    </row>
    <row r="93" spans="2:4" outlineLevel="1" x14ac:dyDescent="0.25">
      <c r="B93" s="111">
        <v>255</v>
      </c>
      <c r="C93" s="112" t="s">
        <v>336</v>
      </c>
      <c r="D93" s="113">
        <v>0.05</v>
      </c>
    </row>
    <row r="94" spans="2:4" outlineLevel="1" x14ac:dyDescent="0.25">
      <c r="B94" s="114">
        <v>264</v>
      </c>
      <c r="C94" s="115" t="s">
        <v>337</v>
      </c>
      <c r="D94" s="116">
        <v>0.05</v>
      </c>
    </row>
    <row r="95" spans="2:4" outlineLevel="1" x14ac:dyDescent="0.25">
      <c r="B95" s="111">
        <v>265</v>
      </c>
      <c r="C95" s="112" t="s">
        <v>338</v>
      </c>
      <c r="D95" s="113">
        <v>0.05</v>
      </c>
    </row>
    <row r="96" spans="2:4" outlineLevel="1" x14ac:dyDescent="0.25">
      <c r="B96" s="114">
        <v>266</v>
      </c>
      <c r="C96" s="115" t="s">
        <v>339</v>
      </c>
      <c r="D96" s="116">
        <v>0.08</v>
      </c>
    </row>
    <row r="97" spans="2:4" outlineLevel="1" x14ac:dyDescent="0.25">
      <c r="B97" s="111">
        <v>268</v>
      </c>
      <c r="C97" s="112" t="s">
        <v>340</v>
      </c>
      <c r="D97" s="113">
        <v>0.05</v>
      </c>
    </row>
    <row r="98" spans="2:4" outlineLevel="1" x14ac:dyDescent="0.25">
      <c r="B98" s="114">
        <v>270</v>
      </c>
      <c r="C98" s="115" t="s">
        <v>341</v>
      </c>
      <c r="D98" s="116">
        <v>8.5000000000000006E-2</v>
      </c>
    </row>
    <row r="99" spans="2:4" outlineLevel="1" x14ac:dyDescent="0.25">
      <c r="B99" s="111">
        <v>271</v>
      </c>
      <c r="C99" s="112" t="s">
        <v>342</v>
      </c>
      <c r="D99" s="113">
        <v>0.03</v>
      </c>
    </row>
    <row r="100" spans="2:4" outlineLevel="1" x14ac:dyDescent="0.25">
      <c r="B100" s="114">
        <v>273</v>
      </c>
      <c r="C100" s="115" t="s">
        <v>343</v>
      </c>
      <c r="D100" s="116">
        <v>0.04</v>
      </c>
    </row>
    <row r="101" spans="2:4" outlineLevel="1" x14ac:dyDescent="0.25">
      <c r="B101" s="111">
        <v>276</v>
      </c>
      <c r="C101" s="112" t="s">
        <v>344</v>
      </c>
      <c r="D101" s="113">
        <v>0.06</v>
      </c>
    </row>
    <row r="102" spans="2:4" outlineLevel="1" x14ac:dyDescent="0.25">
      <c r="B102" s="114">
        <v>285</v>
      </c>
      <c r="C102" s="115" t="s">
        <v>345</v>
      </c>
      <c r="D102" s="116">
        <v>0.05</v>
      </c>
    </row>
    <row r="103" spans="2:4" outlineLevel="1" x14ac:dyDescent="0.25">
      <c r="B103" s="111">
        <v>287</v>
      </c>
      <c r="C103" s="112" t="s">
        <v>346</v>
      </c>
      <c r="D103" s="113">
        <v>0.05</v>
      </c>
    </row>
    <row r="104" spans="2:4" outlineLevel="1" x14ac:dyDescent="0.25">
      <c r="B104" s="114">
        <v>289</v>
      </c>
      <c r="C104" s="115" t="s">
        <v>347</v>
      </c>
      <c r="D104" s="116">
        <v>0.05</v>
      </c>
    </row>
    <row r="105" spans="2:4" outlineLevel="1" x14ac:dyDescent="0.25">
      <c r="B105" s="111">
        <v>290</v>
      </c>
      <c r="C105" s="112" t="s">
        <v>348</v>
      </c>
      <c r="D105" s="113">
        <v>9.7200000000000009E-2</v>
      </c>
    </row>
    <row r="106" spans="2:4" outlineLevel="1" x14ac:dyDescent="0.25">
      <c r="B106" s="114">
        <v>291</v>
      </c>
      <c r="C106" s="115" t="s">
        <v>349</v>
      </c>
      <c r="D106" s="116">
        <v>0.08</v>
      </c>
    </row>
    <row r="107" spans="2:4" outlineLevel="1" x14ac:dyDescent="0.25">
      <c r="B107" s="111">
        <v>292</v>
      </c>
      <c r="C107" s="112" t="s">
        <v>350</v>
      </c>
      <c r="D107" s="113">
        <v>9.7200000000000009E-2</v>
      </c>
    </row>
    <row r="108" spans="2:4" outlineLevel="1" x14ac:dyDescent="0.25">
      <c r="B108" s="114">
        <v>293</v>
      </c>
      <c r="C108" s="115" t="s">
        <v>351</v>
      </c>
      <c r="D108" s="116">
        <v>9.7200000000000009E-2</v>
      </c>
    </row>
    <row r="109" spans="2:4" outlineLevel="1" x14ac:dyDescent="0.25">
      <c r="B109" s="111">
        <v>294</v>
      </c>
      <c r="C109" s="112" t="s">
        <v>352</v>
      </c>
      <c r="D109" s="113">
        <v>0.06</v>
      </c>
    </row>
    <row r="110" spans="2:4" outlineLevel="1" x14ac:dyDescent="0.25">
      <c r="B110" s="114">
        <v>295</v>
      </c>
      <c r="C110" s="115" t="s">
        <v>353</v>
      </c>
      <c r="D110" s="116">
        <v>0.06</v>
      </c>
    </row>
    <row r="111" spans="2:4" outlineLevel="1" x14ac:dyDescent="0.25">
      <c r="B111" s="111">
        <v>296</v>
      </c>
      <c r="C111" s="112" t="s">
        <v>354</v>
      </c>
      <c r="D111" s="113">
        <v>0.06</v>
      </c>
    </row>
    <row r="112" spans="2:4" outlineLevel="1" x14ac:dyDescent="0.25">
      <c r="B112" s="114">
        <v>298</v>
      </c>
      <c r="C112" s="115" t="s">
        <v>355</v>
      </c>
      <c r="D112" s="116">
        <v>0.06</v>
      </c>
    </row>
    <row r="113" spans="2:4" outlineLevel="1" x14ac:dyDescent="0.25">
      <c r="B113" s="111">
        <v>299</v>
      </c>
      <c r="C113" s="112" t="s">
        <v>356</v>
      </c>
      <c r="D113" s="113">
        <v>7.0000000000000007E-2</v>
      </c>
    </row>
    <row r="114" spans="2:4" outlineLevel="1" x14ac:dyDescent="0.25">
      <c r="B114" s="114">
        <v>300</v>
      </c>
      <c r="C114" s="115" t="s">
        <v>357</v>
      </c>
      <c r="D114" s="116">
        <v>0.05</v>
      </c>
    </row>
    <row r="115" spans="2:4" outlineLevel="1" x14ac:dyDescent="0.25">
      <c r="B115" s="111">
        <v>301</v>
      </c>
      <c r="C115" s="112" t="s">
        <v>358</v>
      </c>
      <c r="D115" s="113">
        <v>0.06</v>
      </c>
    </row>
    <row r="116" spans="2:4" outlineLevel="1" x14ac:dyDescent="0.25">
      <c r="B116" s="114">
        <v>302</v>
      </c>
      <c r="C116" s="115" t="s">
        <v>359</v>
      </c>
      <c r="D116" s="116">
        <v>9.7200000000000009E-2</v>
      </c>
    </row>
    <row r="117" spans="2:4" outlineLevel="1" x14ac:dyDescent="0.25">
      <c r="B117" s="111">
        <v>303</v>
      </c>
      <c r="C117" s="112" t="s">
        <v>360</v>
      </c>
      <c r="D117" s="113">
        <v>9.7200000000000009E-2</v>
      </c>
    </row>
    <row r="118" spans="2:4" outlineLevel="1" x14ac:dyDescent="0.25">
      <c r="B118" s="114">
        <v>305</v>
      </c>
      <c r="C118" s="115" t="s">
        <v>361</v>
      </c>
      <c r="D118" s="116">
        <v>0.06</v>
      </c>
    </row>
    <row r="119" spans="2:4" outlineLevel="1" x14ac:dyDescent="0.25">
      <c r="B119" s="111">
        <v>306</v>
      </c>
      <c r="C119" s="112" t="s">
        <v>362</v>
      </c>
      <c r="D119" s="113">
        <v>0.05</v>
      </c>
    </row>
    <row r="120" spans="2:4" outlineLevel="1" x14ac:dyDescent="0.25">
      <c r="B120" s="114">
        <v>307</v>
      </c>
      <c r="C120" s="115" t="s">
        <v>363</v>
      </c>
      <c r="D120" s="116">
        <v>7.0000000000000007E-2</v>
      </c>
    </row>
    <row r="121" spans="2:4" outlineLevel="1" x14ac:dyDescent="0.25">
      <c r="B121" s="111">
        <v>308</v>
      </c>
      <c r="C121" s="112" t="s">
        <v>364</v>
      </c>
      <c r="D121" s="113">
        <v>0.06</v>
      </c>
    </row>
    <row r="122" spans="2:4" outlineLevel="1" x14ac:dyDescent="0.25">
      <c r="B122" s="114">
        <v>309</v>
      </c>
      <c r="C122" s="115" t="s">
        <v>365</v>
      </c>
      <c r="D122" s="116">
        <v>0.06</v>
      </c>
    </row>
    <row r="123" spans="2:4" outlineLevel="1" x14ac:dyDescent="0.25">
      <c r="B123" s="111">
        <v>310</v>
      </c>
      <c r="C123" s="112" t="s">
        <v>366</v>
      </c>
      <c r="D123" s="113">
        <v>0.05</v>
      </c>
    </row>
    <row r="124" spans="2:4" outlineLevel="1" x14ac:dyDescent="0.25">
      <c r="B124" s="114">
        <v>311</v>
      </c>
      <c r="C124" s="115" t="s">
        <v>367</v>
      </c>
      <c r="D124" s="116">
        <v>0.05</v>
      </c>
    </row>
    <row r="125" spans="2:4" outlineLevel="1" x14ac:dyDescent="0.25">
      <c r="B125" s="111">
        <v>312</v>
      </c>
      <c r="C125" s="112" t="s">
        <v>368</v>
      </c>
      <c r="D125" s="113">
        <v>0.05</v>
      </c>
    </row>
    <row r="126" spans="2:4" outlineLevel="1" x14ac:dyDescent="0.25">
      <c r="B126" s="114">
        <v>314</v>
      </c>
      <c r="C126" s="115" t="s">
        <v>369</v>
      </c>
      <c r="D126" s="116">
        <v>7.0000000000000007E-2</v>
      </c>
    </row>
    <row r="127" spans="2:4" outlineLevel="1" x14ac:dyDescent="0.25">
      <c r="B127" s="111">
        <v>315</v>
      </c>
      <c r="C127" s="112" t="s">
        <v>370</v>
      </c>
      <c r="D127" s="113">
        <v>0.03</v>
      </c>
    </row>
    <row r="128" spans="2:4" outlineLevel="1" x14ac:dyDescent="0.25">
      <c r="B128" s="114">
        <v>316</v>
      </c>
      <c r="C128" s="115" t="s">
        <v>371</v>
      </c>
      <c r="D128" s="116">
        <v>0.05</v>
      </c>
    </row>
    <row r="129" spans="2:4" outlineLevel="1" x14ac:dyDescent="0.25">
      <c r="B129" s="111">
        <v>318</v>
      </c>
      <c r="C129" s="112" t="s">
        <v>372</v>
      </c>
      <c r="D129" s="113">
        <v>0.05</v>
      </c>
    </row>
    <row r="130" spans="2:4" outlineLevel="1" x14ac:dyDescent="0.25">
      <c r="B130" s="114">
        <v>319</v>
      </c>
      <c r="C130" s="115" t="s">
        <v>373</v>
      </c>
      <c r="D130" s="116">
        <v>0.06</v>
      </c>
    </row>
    <row r="131" spans="2:4" outlineLevel="1" x14ac:dyDescent="0.25">
      <c r="B131" s="111">
        <v>320</v>
      </c>
      <c r="C131" s="112" t="s">
        <v>374</v>
      </c>
      <c r="D131" s="113">
        <v>0.06</v>
      </c>
    </row>
    <row r="132" spans="2:4" outlineLevel="1" x14ac:dyDescent="0.25">
      <c r="B132" s="114">
        <v>321</v>
      </c>
      <c r="C132" s="115" t="s">
        <v>375</v>
      </c>
      <c r="D132" s="116">
        <v>0.06</v>
      </c>
    </row>
    <row r="133" spans="2:4" outlineLevel="1" x14ac:dyDescent="0.25">
      <c r="B133" s="111">
        <v>322</v>
      </c>
      <c r="C133" s="112" t="s">
        <v>376</v>
      </c>
      <c r="D133" s="113">
        <v>0.05</v>
      </c>
    </row>
    <row r="134" spans="2:4" outlineLevel="1" x14ac:dyDescent="0.25">
      <c r="B134" s="114">
        <v>323</v>
      </c>
      <c r="C134" s="115" t="s">
        <v>377</v>
      </c>
      <c r="D134" s="116">
        <v>0.06</v>
      </c>
    </row>
    <row r="135" spans="2:4" outlineLevel="1" x14ac:dyDescent="0.25">
      <c r="B135" s="111">
        <v>324</v>
      </c>
      <c r="C135" s="112" t="s">
        <v>378</v>
      </c>
      <c r="D135" s="113">
        <v>0.06</v>
      </c>
    </row>
    <row r="136" spans="2:4" outlineLevel="1" x14ac:dyDescent="0.25">
      <c r="B136" s="114">
        <v>325</v>
      </c>
      <c r="C136" s="115" t="s">
        <v>379</v>
      </c>
      <c r="D136" s="116">
        <v>0.06</v>
      </c>
    </row>
    <row r="137" spans="2:4" outlineLevel="1" x14ac:dyDescent="0.25">
      <c r="B137" s="111">
        <v>326</v>
      </c>
      <c r="C137" s="112" t="s">
        <v>380</v>
      </c>
      <c r="D137" s="113">
        <v>0.04</v>
      </c>
    </row>
    <row r="138" spans="2:4" outlineLevel="1" x14ac:dyDescent="0.25">
      <c r="B138" s="114">
        <v>327</v>
      </c>
      <c r="C138" s="115" t="s">
        <v>381</v>
      </c>
      <c r="D138" s="116">
        <v>0.05</v>
      </c>
    </row>
    <row r="139" spans="2:4" outlineLevel="1" x14ac:dyDescent="0.25">
      <c r="B139" s="111">
        <v>328</v>
      </c>
      <c r="C139" s="112" t="s">
        <v>382</v>
      </c>
      <c r="D139" s="113">
        <v>0.05</v>
      </c>
    </row>
    <row r="140" spans="2:4" outlineLevel="1" x14ac:dyDescent="0.25">
      <c r="B140" s="114">
        <v>329</v>
      </c>
      <c r="C140" s="115" t="s">
        <v>383</v>
      </c>
      <c r="D140" s="116">
        <v>0.05</v>
      </c>
    </row>
    <row r="141" spans="2:4" outlineLevel="1" x14ac:dyDescent="0.25">
      <c r="B141" s="111">
        <v>330</v>
      </c>
      <c r="C141" s="112" t="s">
        <v>384</v>
      </c>
      <c r="D141" s="113">
        <v>0.05</v>
      </c>
    </row>
    <row r="142" spans="2:4" outlineLevel="1" x14ac:dyDescent="0.25">
      <c r="B142" s="114">
        <v>331</v>
      </c>
      <c r="C142" s="115" t="s">
        <v>385</v>
      </c>
      <c r="D142" s="116">
        <v>0.05</v>
      </c>
    </row>
    <row r="143" spans="2:4" outlineLevel="1" x14ac:dyDescent="0.25">
      <c r="B143" s="111">
        <v>332</v>
      </c>
      <c r="C143" s="112" t="s">
        <v>386</v>
      </c>
      <c r="D143" s="113">
        <v>0.05</v>
      </c>
    </row>
    <row r="144" spans="2:4" outlineLevel="1" x14ac:dyDescent="0.25">
      <c r="B144" s="114">
        <v>333</v>
      </c>
      <c r="C144" s="115" t="s">
        <v>387</v>
      </c>
      <c r="D144" s="116">
        <v>9.7200000000000009E-2</v>
      </c>
    </row>
    <row r="145" spans="2:4" outlineLevel="1" x14ac:dyDescent="0.25">
      <c r="B145" s="111">
        <v>334</v>
      </c>
      <c r="C145" s="112" t="s">
        <v>388</v>
      </c>
      <c r="D145" s="113">
        <v>0.06</v>
      </c>
    </row>
    <row r="146" spans="2:4" outlineLevel="1" x14ac:dyDescent="0.25">
      <c r="B146" s="114">
        <v>335</v>
      </c>
      <c r="C146" s="115" t="s">
        <v>389</v>
      </c>
      <c r="D146" s="116">
        <v>0.02</v>
      </c>
    </row>
    <row r="147" spans="2:4" outlineLevel="1" x14ac:dyDescent="0.25">
      <c r="B147" s="111">
        <v>339</v>
      </c>
      <c r="C147" s="112" t="s">
        <v>390</v>
      </c>
      <c r="D147" s="113">
        <v>0.06</v>
      </c>
    </row>
    <row r="148" spans="2:4" outlineLevel="1" x14ac:dyDescent="0.25">
      <c r="B148" s="114">
        <v>340</v>
      </c>
      <c r="C148" s="115" t="s">
        <v>391</v>
      </c>
      <c r="D148" s="116">
        <v>0.06</v>
      </c>
    </row>
    <row r="149" spans="2:4" outlineLevel="1" x14ac:dyDescent="0.25">
      <c r="B149" s="111">
        <v>341</v>
      </c>
      <c r="C149" s="112" t="s">
        <v>392</v>
      </c>
      <c r="D149" s="113">
        <v>9.7200000000000009E-2</v>
      </c>
    </row>
    <row r="150" spans="2:4" outlineLevel="1" x14ac:dyDescent="0.25">
      <c r="B150" s="114">
        <v>342</v>
      </c>
      <c r="C150" s="115" t="s">
        <v>393</v>
      </c>
      <c r="D150" s="116">
        <v>9.7200000000000009E-2</v>
      </c>
    </row>
    <row r="151" spans="2:4" outlineLevel="1" x14ac:dyDescent="0.25">
      <c r="B151" s="111">
        <v>343</v>
      </c>
      <c r="C151" s="112" t="s">
        <v>394</v>
      </c>
      <c r="D151" s="113">
        <v>0.06</v>
      </c>
    </row>
    <row r="152" spans="2:4" outlineLevel="1" x14ac:dyDescent="0.25">
      <c r="B152" s="114">
        <v>344</v>
      </c>
      <c r="C152" s="115" t="s">
        <v>395</v>
      </c>
      <c r="D152" s="116">
        <v>0.04</v>
      </c>
    </row>
    <row r="153" spans="2:4" outlineLevel="1" x14ac:dyDescent="0.25">
      <c r="B153" s="111">
        <v>345</v>
      </c>
      <c r="C153" s="112" t="s">
        <v>396</v>
      </c>
      <c r="D153" s="113">
        <v>9.7200000000000009E-2</v>
      </c>
    </row>
    <row r="154" spans="2:4" outlineLevel="1" x14ac:dyDescent="0.25">
      <c r="B154" s="114">
        <v>346</v>
      </c>
      <c r="C154" s="115" t="s">
        <v>397</v>
      </c>
      <c r="D154" s="116">
        <v>0.02</v>
      </c>
    </row>
    <row r="155" spans="2:4" outlineLevel="1" x14ac:dyDescent="0.25">
      <c r="B155" s="111">
        <v>347</v>
      </c>
      <c r="C155" s="112" t="s">
        <v>398</v>
      </c>
      <c r="D155" s="113">
        <v>9.7200000000000009E-2</v>
      </c>
    </row>
    <row r="156" spans="2:4" outlineLevel="1" x14ac:dyDescent="0.25">
      <c r="B156" s="114">
        <v>348</v>
      </c>
      <c r="C156" s="115" t="s">
        <v>399</v>
      </c>
      <c r="D156" s="116">
        <v>0.06</v>
      </c>
    </row>
    <row r="157" spans="2:4" outlineLevel="1" x14ac:dyDescent="0.25">
      <c r="B157" s="111">
        <v>349</v>
      </c>
      <c r="C157" s="112" t="s">
        <v>400</v>
      </c>
      <c r="D157" s="113">
        <v>0.06</v>
      </c>
    </row>
    <row r="158" spans="2:4" outlineLevel="1" x14ac:dyDescent="0.25">
      <c r="B158" s="114">
        <v>354</v>
      </c>
      <c r="C158" s="115" t="s">
        <v>401</v>
      </c>
      <c r="D158" s="116">
        <v>0.06</v>
      </c>
    </row>
    <row r="159" spans="2:4" outlineLevel="1" x14ac:dyDescent="0.25">
      <c r="B159" s="111">
        <v>360</v>
      </c>
      <c r="C159" s="112" t="s">
        <v>402</v>
      </c>
      <c r="D159" s="113">
        <v>0.02</v>
      </c>
    </row>
    <row r="160" spans="2:4" outlineLevel="1" x14ac:dyDescent="0.25">
      <c r="B160" s="114">
        <v>362</v>
      </c>
      <c r="C160" s="115" t="s">
        <v>403</v>
      </c>
      <c r="D160" s="116">
        <v>0.05</v>
      </c>
    </row>
    <row r="161" spans="2:4" outlineLevel="1" x14ac:dyDescent="0.25">
      <c r="B161" s="111">
        <v>363</v>
      </c>
      <c r="C161" s="112" t="s">
        <v>404</v>
      </c>
      <c r="D161" s="113">
        <v>0.05</v>
      </c>
    </row>
    <row r="162" spans="2:4" outlineLevel="1" x14ac:dyDescent="0.25">
      <c r="B162" s="114">
        <v>365</v>
      </c>
      <c r="C162" s="115" t="s">
        <v>405</v>
      </c>
      <c r="D162" s="116">
        <v>3.7999999999999999E-2</v>
      </c>
    </row>
    <row r="163" spans="2:4" outlineLevel="1" x14ac:dyDescent="0.25">
      <c r="B163" s="111">
        <v>367</v>
      </c>
      <c r="C163" s="112" t="s">
        <v>406</v>
      </c>
      <c r="D163" s="113">
        <v>4.0999999999999995E-2</v>
      </c>
    </row>
    <row r="164" spans="2:4" outlineLevel="1" x14ac:dyDescent="0.25">
      <c r="B164" s="114">
        <v>368</v>
      </c>
      <c r="C164" s="115" t="s">
        <v>407</v>
      </c>
      <c r="D164" s="116">
        <v>0.06</v>
      </c>
    </row>
    <row r="165" spans="2:4" outlineLevel="1" x14ac:dyDescent="0.25">
      <c r="B165" s="111">
        <v>378</v>
      </c>
      <c r="C165" s="112" t="s">
        <v>408</v>
      </c>
      <c r="D165" s="113">
        <v>0.05</v>
      </c>
    </row>
    <row r="166" spans="2:4" outlineLevel="1" x14ac:dyDescent="0.25">
      <c r="B166" s="114">
        <v>382</v>
      </c>
      <c r="C166" s="115" t="s">
        <v>409</v>
      </c>
      <c r="D166" s="116">
        <v>0.11</v>
      </c>
    </row>
    <row r="167" spans="2:4" outlineLevel="1" x14ac:dyDescent="0.25">
      <c r="B167" s="111">
        <v>394</v>
      </c>
      <c r="C167" s="112" t="s">
        <v>410</v>
      </c>
      <c r="D167" s="113">
        <v>0.02</v>
      </c>
    </row>
    <row r="168" spans="2:4" outlineLevel="1" x14ac:dyDescent="0.25">
      <c r="B168" s="114">
        <v>433</v>
      </c>
      <c r="C168" s="115" t="s">
        <v>411</v>
      </c>
      <c r="D168" s="116">
        <v>0.06</v>
      </c>
    </row>
    <row r="169" spans="2:4" outlineLevel="1" x14ac:dyDescent="0.25">
      <c r="B169" s="111">
        <v>448</v>
      </c>
      <c r="C169" s="112" t="s">
        <v>412</v>
      </c>
      <c r="D169" s="113">
        <v>0.05</v>
      </c>
    </row>
    <row r="170" spans="2:4" outlineLevel="1" x14ac:dyDescent="0.25">
      <c r="B170" s="114">
        <v>454</v>
      </c>
      <c r="C170" s="115" t="s">
        <v>413</v>
      </c>
      <c r="D170" s="116">
        <v>0.02</v>
      </c>
    </row>
    <row r="171" spans="2:4" outlineLevel="1" x14ac:dyDescent="0.25">
      <c r="B171" s="111">
        <v>462</v>
      </c>
      <c r="C171" s="112" t="s">
        <v>412</v>
      </c>
      <c r="D171" s="113">
        <v>0.05</v>
      </c>
    </row>
    <row r="172" spans="2:4" outlineLevel="1" x14ac:dyDescent="0.25">
      <c r="B172" s="114">
        <v>470</v>
      </c>
      <c r="C172" s="115" t="s">
        <v>414</v>
      </c>
      <c r="D172" s="116">
        <v>0.06</v>
      </c>
    </row>
    <row r="173" spans="2:4" outlineLevel="1" x14ac:dyDescent="0.25">
      <c r="B173" s="111">
        <v>501</v>
      </c>
      <c r="C173" s="112" t="s">
        <v>415</v>
      </c>
      <c r="D173" s="113">
        <v>0.02</v>
      </c>
    </row>
    <row r="174" spans="2:4" outlineLevel="1" x14ac:dyDescent="0.25">
      <c r="B174" s="114">
        <v>532</v>
      </c>
      <c r="C174" s="115" t="s">
        <v>416</v>
      </c>
      <c r="D174" s="116">
        <v>0.05</v>
      </c>
    </row>
    <row r="175" spans="2:4" outlineLevel="1" x14ac:dyDescent="0.25">
      <c r="B175" s="111">
        <v>560</v>
      </c>
      <c r="C175" s="112" t="s">
        <v>417</v>
      </c>
      <c r="D175" s="117">
        <v>0.05</v>
      </c>
    </row>
    <row r="177" spans="2:3" x14ac:dyDescent="0.25">
      <c r="B177" s="118" t="s">
        <v>418</v>
      </c>
      <c r="C177" s="93">
        <f>AVERAGE(D9:D175)</f>
        <v>6.8808982035928251E-2</v>
      </c>
    </row>
  </sheetData>
  <autoFilter ref="B8:D175" xr:uid="{457A40D6-7842-4872-B00A-8536673733A6}"/>
  <dataValidations disablePrompts="1" count="1">
    <dataValidation type="decimal" allowBlank="1" showInputMessage="1" showErrorMessage="1" sqref="D9:D174" xr:uid="{0A68E289-8EC5-4FF6-8DF2-7D12E4DD7565}">
      <formula1>0</formula1>
      <formula2>1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B064-9B1B-4842-B2C2-A419A27B59BC}">
  <sheetPr codeName="Hoja5"/>
  <dimension ref="A1:K113"/>
  <sheetViews>
    <sheetView showGridLines="0" zoomScale="83" zoomScaleNormal="83" workbookViewId="0"/>
  </sheetViews>
  <sheetFormatPr baseColWidth="10" defaultRowHeight="15.75" x14ac:dyDescent="0.25"/>
  <cols>
    <col min="1" max="1" width="9" style="56" customWidth="1"/>
    <col min="2" max="2" width="39.140625" style="56" bestFit="1" customWidth="1"/>
    <col min="3" max="3" width="55" style="56" bestFit="1" customWidth="1"/>
    <col min="4" max="4" width="15.140625" style="56" customWidth="1"/>
    <col min="5" max="5" width="12" style="56" customWidth="1"/>
    <col min="6" max="6" width="18.140625" style="56" customWidth="1"/>
    <col min="7" max="7" width="19.28515625" style="56" customWidth="1"/>
    <col min="8" max="8" width="35.42578125" style="56" customWidth="1"/>
    <col min="9" max="244" width="11.42578125" style="56"/>
    <col min="245" max="245" width="32" style="56" customWidth="1"/>
    <col min="246" max="246" width="19.28515625" style="56" customWidth="1"/>
    <col min="247" max="247" width="12.140625" style="56" customWidth="1"/>
    <col min="248" max="248" width="15.140625" style="56" customWidth="1"/>
    <col min="249" max="249" width="12" style="56" customWidth="1"/>
    <col min="250" max="250" width="18.140625" style="56" customWidth="1"/>
    <col min="251" max="251" width="19.28515625" style="56" customWidth="1"/>
    <col min="252" max="252" width="35.42578125" style="56" customWidth="1"/>
    <col min="253" max="253" width="12.7109375" style="56" customWidth="1"/>
    <col min="254" max="254" width="30.42578125" style="56" customWidth="1"/>
    <col min="255" max="255" width="20.140625" style="56" customWidth="1"/>
    <col min="256" max="260" width="11.42578125" style="56"/>
    <col min="261" max="261" width="13.42578125" style="56" customWidth="1"/>
    <col min="262" max="500" width="11.42578125" style="56"/>
    <col min="501" max="501" width="32" style="56" customWidth="1"/>
    <col min="502" max="502" width="19.28515625" style="56" customWidth="1"/>
    <col min="503" max="503" width="12.140625" style="56" customWidth="1"/>
    <col min="504" max="504" width="15.140625" style="56" customWidth="1"/>
    <col min="505" max="505" width="12" style="56" customWidth="1"/>
    <col min="506" max="506" width="18.140625" style="56" customWidth="1"/>
    <col min="507" max="507" width="19.28515625" style="56" customWidth="1"/>
    <col min="508" max="508" width="35.42578125" style="56" customWidth="1"/>
    <col min="509" max="509" width="12.7109375" style="56" customWidth="1"/>
    <col min="510" max="510" width="30.42578125" style="56" customWidth="1"/>
    <col min="511" max="511" width="20.140625" style="56" customWidth="1"/>
    <col min="512" max="516" width="11.42578125" style="56"/>
    <col min="517" max="517" width="13.42578125" style="56" customWidth="1"/>
    <col min="518" max="756" width="11.42578125" style="56"/>
    <col min="757" max="757" width="32" style="56" customWidth="1"/>
    <col min="758" max="758" width="19.28515625" style="56" customWidth="1"/>
    <col min="759" max="759" width="12.140625" style="56" customWidth="1"/>
    <col min="760" max="760" width="15.140625" style="56" customWidth="1"/>
    <col min="761" max="761" width="12" style="56" customWidth="1"/>
    <col min="762" max="762" width="18.140625" style="56" customWidth="1"/>
    <col min="763" max="763" width="19.28515625" style="56" customWidth="1"/>
    <col min="764" max="764" width="35.42578125" style="56" customWidth="1"/>
    <col min="765" max="765" width="12.7109375" style="56" customWidth="1"/>
    <col min="766" max="766" width="30.42578125" style="56" customWidth="1"/>
    <col min="767" max="767" width="20.140625" style="56" customWidth="1"/>
    <col min="768" max="772" width="11.42578125" style="56"/>
    <col min="773" max="773" width="13.42578125" style="56" customWidth="1"/>
    <col min="774" max="1012" width="11.42578125" style="56"/>
    <col min="1013" max="1013" width="32" style="56" customWidth="1"/>
    <col min="1014" max="1014" width="19.28515625" style="56" customWidth="1"/>
    <col min="1015" max="1015" width="12.140625" style="56" customWidth="1"/>
    <col min="1016" max="1016" width="15.140625" style="56" customWidth="1"/>
    <col min="1017" max="1017" width="12" style="56" customWidth="1"/>
    <col min="1018" max="1018" width="18.140625" style="56" customWidth="1"/>
    <col min="1019" max="1019" width="19.28515625" style="56" customWidth="1"/>
    <col min="1020" max="1020" width="35.42578125" style="56" customWidth="1"/>
    <col min="1021" max="1021" width="12.7109375" style="56" customWidth="1"/>
    <col min="1022" max="1022" width="30.42578125" style="56" customWidth="1"/>
    <col min="1023" max="1023" width="20.140625" style="56" customWidth="1"/>
    <col min="1024" max="1028" width="11.42578125" style="56"/>
    <col min="1029" max="1029" width="13.42578125" style="56" customWidth="1"/>
    <col min="1030" max="1268" width="11.42578125" style="56"/>
    <col min="1269" max="1269" width="32" style="56" customWidth="1"/>
    <col min="1270" max="1270" width="19.28515625" style="56" customWidth="1"/>
    <col min="1271" max="1271" width="12.140625" style="56" customWidth="1"/>
    <col min="1272" max="1272" width="15.140625" style="56" customWidth="1"/>
    <col min="1273" max="1273" width="12" style="56" customWidth="1"/>
    <col min="1274" max="1274" width="18.140625" style="56" customWidth="1"/>
    <col min="1275" max="1275" width="19.28515625" style="56" customWidth="1"/>
    <col min="1276" max="1276" width="35.42578125" style="56" customWidth="1"/>
    <col min="1277" max="1277" width="12.7109375" style="56" customWidth="1"/>
    <col min="1278" max="1278" width="30.42578125" style="56" customWidth="1"/>
    <col min="1279" max="1279" width="20.140625" style="56" customWidth="1"/>
    <col min="1280" max="1284" width="11.42578125" style="56"/>
    <col min="1285" max="1285" width="13.42578125" style="56" customWidth="1"/>
    <col min="1286" max="1524" width="11.42578125" style="56"/>
    <col min="1525" max="1525" width="32" style="56" customWidth="1"/>
    <col min="1526" max="1526" width="19.28515625" style="56" customWidth="1"/>
    <col min="1527" max="1527" width="12.140625" style="56" customWidth="1"/>
    <col min="1528" max="1528" width="15.140625" style="56" customWidth="1"/>
    <col min="1529" max="1529" width="12" style="56" customWidth="1"/>
    <col min="1530" max="1530" width="18.140625" style="56" customWidth="1"/>
    <col min="1531" max="1531" width="19.28515625" style="56" customWidth="1"/>
    <col min="1532" max="1532" width="35.42578125" style="56" customWidth="1"/>
    <col min="1533" max="1533" width="12.7109375" style="56" customWidth="1"/>
    <col min="1534" max="1534" width="30.42578125" style="56" customWidth="1"/>
    <col min="1535" max="1535" width="20.140625" style="56" customWidth="1"/>
    <col min="1536" max="1540" width="11.42578125" style="56"/>
    <col min="1541" max="1541" width="13.42578125" style="56" customWidth="1"/>
    <col min="1542" max="1780" width="11.42578125" style="56"/>
    <col min="1781" max="1781" width="32" style="56" customWidth="1"/>
    <col min="1782" max="1782" width="19.28515625" style="56" customWidth="1"/>
    <col min="1783" max="1783" width="12.140625" style="56" customWidth="1"/>
    <col min="1784" max="1784" width="15.140625" style="56" customWidth="1"/>
    <col min="1785" max="1785" width="12" style="56" customWidth="1"/>
    <col min="1786" max="1786" width="18.140625" style="56" customWidth="1"/>
    <col min="1787" max="1787" width="19.28515625" style="56" customWidth="1"/>
    <col min="1788" max="1788" width="35.42578125" style="56" customWidth="1"/>
    <col min="1789" max="1789" width="12.7109375" style="56" customWidth="1"/>
    <col min="1790" max="1790" width="30.42578125" style="56" customWidth="1"/>
    <col min="1791" max="1791" width="20.140625" style="56" customWidth="1"/>
    <col min="1792" max="1796" width="11.42578125" style="56"/>
    <col min="1797" max="1797" width="13.42578125" style="56" customWidth="1"/>
    <col min="1798" max="2036" width="11.42578125" style="56"/>
    <col min="2037" max="2037" width="32" style="56" customWidth="1"/>
    <col min="2038" max="2038" width="19.28515625" style="56" customWidth="1"/>
    <col min="2039" max="2039" width="12.140625" style="56" customWidth="1"/>
    <col min="2040" max="2040" width="15.140625" style="56" customWidth="1"/>
    <col min="2041" max="2041" width="12" style="56" customWidth="1"/>
    <col min="2042" max="2042" width="18.140625" style="56" customWidth="1"/>
    <col min="2043" max="2043" width="19.28515625" style="56" customWidth="1"/>
    <col min="2044" max="2044" width="35.42578125" style="56" customWidth="1"/>
    <col min="2045" max="2045" width="12.7109375" style="56" customWidth="1"/>
    <col min="2046" max="2046" width="30.42578125" style="56" customWidth="1"/>
    <col min="2047" max="2047" width="20.140625" style="56" customWidth="1"/>
    <col min="2048" max="2052" width="11.42578125" style="56"/>
    <col min="2053" max="2053" width="13.42578125" style="56" customWidth="1"/>
    <col min="2054" max="2292" width="11.42578125" style="56"/>
    <col min="2293" max="2293" width="32" style="56" customWidth="1"/>
    <col min="2294" max="2294" width="19.28515625" style="56" customWidth="1"/>
    <col min="2295" max="2295" width="12.140625" style="56" customWidth="1"/>
    <col min="2296" max="2296" width="15.140625" style="56" customWidth="1"/>
    <col min="2297" max="2297" width="12" style="56" customWidth="1"/>
    <col min="2298" max="2298" width="18.140625" style="56" customWidth="1"/>
    <col min="2299" max="2299" width="19.28515625" style="56" customWidth="1"/>
    <col min="2300" max="2300" width="35.42578125" style="56" customWidth="1"/>
    <col min="2301" max="2301" width="12.7109375" style="56" customWidth="1"/>
    <col min="2302" max="2302" width="30.42578125" style="56" customWidth="1"/>
    <col min="2303" max="2303" width="20.140625" style="56" customWidth="1"/>
    <col min="2304" max="2308" width="11.42578125" style="56"/>
    <col min="2309" max="2309" width="13.42578125" style="56" customWidth="1"/>
    <col min="2310" max="2548" width="11.42578125" style="56"/>
    <col min="2549" max="2549" width="32" style="56" customWidth="1"/>
    <col min="2550" max="2550" width="19.28515625" style="56" customWidth="1"/>
    <col min="2551" max="2551" width="12.140625" style="56" customWidth="1"/>
    <col min="2552" max="2552" width="15.140625" style="56" customWidth="1"/>
    <col min="2553" max="2553" width="12" style="56" customWidth="1"/>
    <col min="2554" max="2554" width="18.140625" style="56" customWidth="1"/>
    <col min="2555" max="2555" width="19.28515625" style="56" customWidth="1"/>
    <col min="2556" max="2556" width="35.42578125" style="56" customWidth="1"/>
    <col min="2557" max="2557" width="12.7109375" style="56" customWidth="1"/>
    <col min="2558" max="2558" width="30.42578125" style="56" customWidth="1"/>
    <col min="2559" max="2559" width="20.140625" style="56" customWidth="1"/>
    <col min="2560" max="2564" width="11.42578125" style="56"/>
    <col min="2565" max="2565" width="13.42578125" style="56" customWidth="1"/>
    <col min="2566" max="2804" width="11.42578125" style="56"/>
    <col min="2805" max="2805" width="32" style="56" customWidth="1"/>
    <col min="2806" max="2806" width="19.28515625" style="56" customWidth="1"/>
    <col min="2807" max="2807" width="12.140625" style="56" customWidth="1"/>
    <col min="2808" max="2808" width="15.140625" style="56" customWidth="1"/>
    <col min="2809" max="2809" width="12" style="56" customWidth="1"/>
    <col min="2810" max="2810" width="18.140625" style="56" customWidth="1"/>
    <col min="2811" max="2811" width="19.28515625" style="56" customWidth="1"/>
    <col min="2812" max="2812" width="35.42578125" style="56" customWidth="1"/>
    <col min="2813" max="2813" width="12.7109375" style="56" customWidth="1"/>
    <col min="2814" max="2814" width="30.42578125" style="56" customWidth="1"/>
    <col min="2815" max="2815" width="20.140625" style="56" customWidth="1"/>
    <col min="2816" max="2820" width="11.42578125" style="56"/>
    <col min="2821" max="2821" width="13.42578125" style="56" customWidth="1"/>
    <col min="2822" max="3060" width="11.42578125" style="56"/>
    <col min="3061" max="3061" width="32" style="56" customWidth="1"/>
    <col min="3062" max="3062" width="19.28515625" style="56" customWidth="1"/>
    <col min="3063" max="3063" width="12.140625" style="56" customWidth="1"/>
    <col min="3064" max="3064" width="15.140625" style="56" customWidth="1"/>
    <col min="3065" max="3065" width="12" style="56" customWidth="1"/>
    <col min="3066" max="3066" width="18.140625" style="56" customWidth="1"/>
    <col min="3067" max="3067" width="19.28515625" style="56" customWidth="1"/>
    <col min="3068" max="3068" width="35.42578125" style="56" customWidth="1"/>
    <col min="3069" max="3069" width="12.7109375" style="56" customWidth="1"/>
    <col min="3070" max="3070" width="30.42578125" style="56" customWidth="1"/>
    <col min="3071" max="3071" width="20.140625" style="56" customWidth="1"/>
    <col min="3072" max="3076" width="11.42578125" style="56"/>
    <col min="3077" max="3077" width="13.42578125" style="56" customWidth="1"/>
    <col min="3078" max="3316" width="11.42578125" style="56"/>
    <col min="3317" max="3317" width="32" style="56" customWidth="1"/>
    <col min="3318" max="3318" width="19.28515625" style="56" customWidth="1"/>
    <col min="3319" max="3319" width="12.140625" style="56" customWidth="1"/>
    <col min="3320" max="3320" width="15.140625" style="56" customWidth="1"/>
    <col min="3321" max="3321" width="12" style="56" customWidth="1"/>
    <col min="3322" max="3322" width="18.140625" style="56" customWidth="1"/>
    <col min="3323" max="3323" width="19.28515625" style="56" customWidth="1"/>
    <col min="3324" max="3324" width="35.42578125" style="56" customWidth="1"/>
    <col min="3325" max="3325" width="12.7109375" style="56" customWidth="1"/>
    <col min="3326" max="3326" width="30.42578125" style="56" customWidth="1"/>
    <col min="3327" max="3327" width="20.140625" style="56" customWidth="1"/>
    <col min="3328" max="3332" width="11.42578125" style="56"/>
    <col min="3333" max="3333" width="13.42578125" style="56" customWidth="1"/>
    <col min="3334" max="3572" width="11.42578125" style="56"/>
    <col min="3573" max="3573" width="32" style="56" customWidth="1"/>
    <col min="3574" max="3574" width="19.28515625" style="56" customWidth="1"/>
    <col min="3575" max="3575" width="12.140625" style="56" customWidth="1"/>
    <col min="3576" max="3576" width="15.140625" style="56" customWidth="1"/>
    <col min="3577" max="3577" width="12" style="56" customWidth="1"/>
    <col min="3578" max="3578" width="18.140625" style="56" customWidth="1"/>
    <col min="3579" max="3579" width="19.28515625" style="56" customWidth="1"/>
    <col min="3580" max="3580" width="35.42578125" style="56" customWidth="1"/>
    <col min="3581" max="3581" width="12.7109375" style="56" customWidth="1"/>
    <col min="3582" max="3582" width="30.42578125" style="56" customWidth="1"/>
    <col min="3583" max="3583" width="20.140625" style="56" customWidth="1"/>
    <col min="3584" max="3588" width="11.42578125" style="56"/>
    <col min="3589" max="3589" width="13.42578125" style="56" customWidth="1"/>
    <col min="3590" max="3828" width="11.42578125" style="56"/>
    <col min="3829" max="3829" width="32" style="56" customWidth="1"/>
    <col min="3830" max="3830" width="19.28515625" style="56" customWidth="1"/>
    <col min="3831" max="3831" width="12.140625" style="56" customWidth="1"/>
    <col min="3832" max="3832" width="15.140625" style="56" customWidth="1"/>
    <col min="3833" max="3833" width="12" style="56" customWidth="1"/>
    <col min="3834" max="3834" width="18.140625" style="56" customWidth="1"/>
    <col min="3835" max="3835" width="19.28515625" style="56" customWidth="1"/>
    <col min="3836" max="3836" width="35.42578125" style="56" customWidth="1"/>
    <col min="3837" max="3837" width="12.7109375" style="56" customWidth="1"/>
    <col min="3838" max="3838" width="30.42578125" style="56" customWidth="1"/>
    <col min="3839" max="3839" width="20.140625" style="56" customWidth="1"/>
    <col min="3840" max="3844" width="11.42578125" style="56"/>
    <col min="3845" max="3845" width="13.42578125" style="56" customWidth="1"/>
    <col min="3846" max="4084" width="11.42578125" style="56"/>
    <col min="4085" max="4085" width="32" style="56" customWidth="1"/>
    <col min="4086" max="4086" width="19.28515625" style="56" customWidth="1"/>
    <col min="4087" max="4087" width="12.140625" style="56" customWidth="1"/>
    <col min="4088" max="4088" width="15.140625" style="56" customWidth="1"/>
    <col min="4089" max="4089" width="12" style="56" customWidth="1"/>
    <col min="4090" max="4090" width="18.140625" style="56" customWidth="1"/>
    <col min="4091" max="4091" width="19.28515625" style="56" customWidth="1"/>
    <col min="4092" max="4092" width="35.42578125" style="56" customWidth="1"/>
    <col min="4093" max="4093" width="12.7109375" style="56" customWidth="1"/>
    <col min="4094" max="4094" width="30.42578125" style="56" customWidth="1"/>
    <col min="4095" max="4095" width="20.140625" style="56" customWidth="1"/>
    <col min="4096" max="4100" width="11.42578125" style="56"/>
    <col min="4101" max="4101" width="13.42578125" style="56" customWidth="1"/>
    <col min="4102" max="4340" width="11.42578125" style="56"/>
    <col min="4341" max="4341" width="32" style="56" customWidth="1"/>
    <col min="4342" max="4342" width="19.28515625" style="56" customWidth="1"/>
    <col min="4343" max="4343" width="12.140625" style="56" customWidth="1"/>
    <col min="4344" max="4344" width="15.140625" style="56" customWidth="1"/>
    <col min="4345" max="4345" width="12" style="56" customWidth="1"/>
    <col min="4346" max="4346" width="18.140625" style="56" customWidth="1"/>
    <col min="4347" max="4347" width="19.28515625" style="56" customWidth="1"/>
    <col min="4348" max="4348" width="35.42578125" style="56" customWidth="1"/>
    <col min="4349" max="4349" width="12.7109375" style="56" customWidth="1"/>
    <col min="4350" max="4350" width="30.42578125" style="56" customWidth="1"/>
    <col min="4351" max="4351" width="20.140625" style="56" customWidth="1"/>
    <col min="4352" max="4356" width="11.42578125" style="56"/>
    <col min="4357" max="4357" width="13.42578125" style="56" customWidth="1"/>
    <col min="4358" max="4596" width="11.42578125" style="56"/>
    <col min="4597" max="4597" width="32" style="56" customWidth="1"/>
    <col min="4598" max="4598" width="19.28515625" style="56" customWidth="1"/>
    <col min="4599" max="4599" width="12.140625" style="56" customWidth="1"/>
    <col min="4600" max="4600" width="15.140625" style="56" customWidth="1"/>
    <col min="4601" max="4601" width="12" style="56" customWidth="1"/>
    <col min="4602" max="4602" width="18.140625" style="56" customWidth="1"/>
    <col min="4603" max="4603" width="19.28515625" style="56" customWidth="1"/>
    <col min="4604" max="4604" width="35.42578125" style="56" customWidth="1"/>
    <col min="4605" max="4605" width="12.7109375" style="56" customWidth="1"/>
    <col min="4606" max="4606" width="30.42578125" style="56" customWidth="1"/>
    <col min="4607" max="4607" width="20.140625" style="56" customWidth="1"/>
    <col min="4608" max="4612" width="11.42578125" style="56"/>
    <col min="4613" max="4613" width="13.42578125" style="56" customWidth="1"/>
    <col min="4614" max="4852" width="11.42578125" style="56"/>
    <col min="4853" max="4853" width="32" style="56" customWidth="1"/>
    <col min="4854" max="4854" width="19.28515625" style="56" customWidth="1"/>
    <col min="4855" max="4855" width="12.140625" style="56" customWidth="1"/>
    <col min="4856" max="4856" width="15.140625" style="56" customWidth="1"/>
    <col min="4857" max="4857" width="12" style="56" customWidth="1"/>
    <col min="4858" max="4858" width="18.140625" style="56" customWidth="1"/>
    <col min="4859" max="4859" width="19.28515625" style="56" customWidth="1"/>
    <col min="4860" max="4860" width="35.42578125" style="56" customWidth="1"/>
    <col min="4861" max="4861" width="12.7109375" style="56" customWidth="1"/>
    <col min="4862" max="4862" width="30.42578125" style="56" customWidth="1"/>
    <col min="4863" max="4863" width="20.140625" style="56" customWidth="1"/>
    <col min="4864" max="4868" width="11.42578125" style="56"/>
    <col min="4869" max="4869" width="13.42578125" style="56" customWidth="1"/>
    <col min="4870" max="5108" width="11.42578125" style="56"/>
    <col min="5109" max="5109" width="32" style="56" customWidth="1"/>
    <col min="5110" max="5110" width="19.28515625" style="56" customWidth="1"/>
    <col min="5111" max="5111" width="12.140625" style="56" customWidth="1"/>
    <col min="5112" max="5112" width="15.140625" style="56" customWidth="1"/>
    <col min="5113" max="5113" width="12" style="56" customWidth="1"/>
    <col min="5114" max="5114" width="18.140625" style="56" customWidth="1"/>
    <col min="5115" max="5115" width="19.28515625" style="56" customWidth="1"/>
    <col min="5116" max="5116" width="35.42578125" style="56" customWidth="1"/>
    <col min="5117" max="5117" width="12.7109375" style="56" customWidth="1"/>
    <col min="5118" max="5118" width="30.42578125" style="56" customWidth="1"/>
    <col min="5119" max="5119" width="20.140625" style="56" customWidth="1"/>
    <col min="5120" max="5124" width="11.42578125" style="56"/>
    <col min="5125" max="5125" width="13.42578125" style="56" customWidth="1"/>
    <col min="5126" max="5364" width="11.42578125" style="56"/>
    <col min="5365" max="5365" width="32" style="56" customWidth="1"/>
    <col min="5366" max="5366" width="19.28515625" style="56" customWidth="1"/>
    <col min="5367" max="5367" width="12.140625" style="56" customWidth="1"/>
    <col min="5368" max="5368" width="15.140625" style="56" customWidth="1"/>
    <col min="5369" max="5369" width="12" style="56" customWidth="1"/>
    <col min="5370" max="5370" width="18.140625" style="56" customWidth="1"/>
    <col min="5371" max="5371" width="19.28515625" style="56" customWidth="1"/>
    <col min="5372" max="5372" width="35.42578125" style="56" customWidth="1"/>
    <col min="5373" max="5373" width="12.7109375" style="56" customWidth="1"/>
    <col min="5374" max="5374" width="30.42578125" style="56" customWidth="1"/>
    <col min="5375" max="5375" width="20.140625" style="56" customWidth="1"/>
    <col min="5376" max="5380" width="11.42578125" style="56"/>
    <col min="5381" max="5381" width="13.42578125" style="56" customWidth="1"/>
    <col min="5382" max="5620" width="11.42578125" style="56"/>
    <col min="5621" max="5621" width="32" style="56" customWidth="1"/>
    <col min="5622" max="5622" width="19.28515625" style="56" customWidth="1"/>
    <col min="5623" max="5623" width="12.140625" style="56" customWidth="1"/>
    <col min="5624" max="5624" width="15.140625" style="56" customWidth="1"/>
    <col min="5625" max="5625" width="12" style="56" customWidth="1"/>
    <col min="5626" max="5626" width="18.140625" style="56" customWidth="1"/>
    <col min="5627" max="5627" width="19.28515625" style="56" customWidth="1"/>
    <col min="5628" max="5628" width="35.42578125" style="56" customWidth="1"/>
    <col min="5629" max="5629" width="12.7109375" style="56" customWidth="1"/>
    <col min="5630" max="5630" width="30.42578125" style="56" customWidth="1"/>
    <col min="5631" max="5631" width="20.140625" style="56" customWidth="1"/>
    <col min="5632" max="5636" width="11.42578125" style="56"/>
    <col min="5637" max="5637" width="13.42578125" style="56" customWidth="1"/>
    <col min="5638" max="5876" width="11.42578125" style="56"/>
    <col min="5877" max="5877" width="32" style="56" customWidth="1"/>
    <col min="5878" max="5878" width="19.28515625" style="56" customWidth="1"/>
    <col min="5879" max="5879" width="12.140625" style="56" customWidth="1"/>
    <col min="5880" max="5880" width="15.140625" style="56" customWidth="1"/>
    <col min="5881" max="5881" width="12" style="56" customWidth="1"/>
    <col min="5882" max="5882" width="18.140625" style="56" customWidth="1"/>
    <col min="5883" max="5883" width="19.28515625" style="56" customWidth="1"/>
    <col min="5884" max="5884" width="35.42578125" style="56" customWidth="1"/>
    <col min="5885" max="5885" width="12.7109375" style="56" customWidth="1"/>
    <col min="5886" max="5886" width="30.42578125" style="56" customWidth="1"/>
    <col min="5887" max="5887" width="20.140625" style="56" customWidth="1"/>
    <col min="5888" max="5892" width="11.42578125" style="56"/>
    <col min="5893" max="5893" width="13.42578125" style="56" customWidth="1"/>
    <col min="5894" max="6132" width="11.42578125" style="56"/>
    <col min="6133" max="6133" width="32" style="56" customWidth="1"/>
    <col min="6134" max="6134" width="19.28515625" style="56" customWidth="1"/>
    <col min="6135" max="6135" width="12.140625" style="56" customWidth="1"/>
    <col min="6136" max="6136" width="15.140625" style="56" customWidth="1"/>
    <col min="6137" max="6137" width="12" style="56" customWidth="1"/>
    <col min="6138" max="6138" width="18.140625" style="56" customWidth="1"/>
    <col min="6139" max="6139" width="19.28515625" style="56" customWidth="1"/>
    <col min="6140" max="6140" width="35.42578125" style="56" customWidth="1"/>
    <col min="6141" max="6141" width="12.7109375" style="56" customWidth="1"/>
    <col min="6142" max="6142" width="30.42578125" style="56" customWidth="1"/>
    <col min="6143" max="6143" width="20.140625" style="56" customWidth="1"/>
    <col min="6144" max="6148" width="11.42578125" style="56"/>
    <col min="6149" max="6149" width="13.42578125" style="56" customWidth="1"/>
    <col min="6150" max="6388" width="11.42578125" style="56"/>
    <col min="6389" max="6389" width="32" style="56" customWidth="1"/>
    <col min="6390" max="6390" width="19.28515625" style="56" customWidth="1"/>
    <col min="6391" max="6391" width="12.140625" style="56" customWidth="1"/>
    <col min="6392" max="6392" width="15.140625" style="56" customWidth="1"/>
    <col min="6393" max="6393" width="12" style="56" customWidth="1"/>
    <col min="6394" max="6394" width="18.140625" style="56" customWidth="1"/>
    <col min="6395" max="6395" width="19.28515625" style="56" customWidth="1"/>
    <col min="6396" max="6396" width="35.42578125" style="56" customWidth="1"/>
    <col min="6397" max="6397" width="12.7109375" style="56" customWidth="1"/>
    <col min="6398" max="6398" width="30.42578125" style="56" customWidth="1"/>
    <col min="6399" max="6399" width="20.140625" style="56" customWidth="1"/>
    <col min="6400" max="6404" width="11.42578125" style="56"/>
    <col min="6405" max="6405" width="13.42578125" style="56" customWidth="1"/>
    <col min="6406" max="6644" width="11.42578125" style="56"/>
    <col min="6645" max="6645" width="32" style="56" customWidth="1"/>
    <col min="6646" max="6646" width="19.28515625" style="56" customWidth="1"/>
    <col min="6647" max="6647" width="12.140625" style="56" customWidth="1"/>
    <col min="6648" max="6648" width="15.140625" style="56" customWidth="1"/>
    <col min="6649" max="6649" width="12" style="56" customWidth="1"/>
    <col min="6650" max="6650" width="18.140625" style="56" customWidth="1"/>
    <col min="6651" max="6651" width="19.28515625" style="56" customWidth="1"/>
    <col min="6652" max="6652" width="35.42578125" style="56" customWidth="1"/>
    <col min="6653" max="6653" width="12.7109375" style="56" customWidth="1"/>
    <col min="6654" max="6654" width="30.42578125" style="56" customWidth="1"/>
    <col min="6655" max="6655" width="20.140625" style="56" customWidth="1"/>
    <col min="6656" max="6660" width="11.42578125" style="56"/>
    <col min="6661" max="6661" width="13.42578125" style="56" customWidth="1"/>
    <col min="6662" max="6900" width="11.42578125" style="56"/>
    <col min="6901" max="6901" width="32" style="56" customWidth="1"/>
    <col min="6902" max="6902" width="19.28515625" style="56" customWidth="1"/>
    <col min="6903" max="6903" width="12.140625" style="56" customWidth="1"/>
    <col min="6904" max="6904" width="15.140625" style="56" customWidth="1"/>
    <col min="6905" max="6905" width="12" style="56" customWidth="1"/>
    <col min="6906" max="6906" width="18.140625" style="56" customWidth="1"/>
    <col min="6907" max="6907" width="19.28515625" style="56" customWidth="1"/>
    <col min="6908" max="6908" width="35.42578125" style="56" customWidth="1"/>
    <col min="6909" max="6909" width="12.7109375" style="56" customWidth="1"/>
    <col min="6910" max="6910" width="30.42578125" style="56" customWidth="1"/>
    <col min="6911" max="6911" width="20.140625" style="56" customWidth="1"/>
    <col min="6912" max="6916" width="11.42578125" style="56"/>
    <col min="6917" max="6917" width="13.42578125" style="56" customWidth="1"/>
    <col min="6918" max="7156" width="11.42578125" style="56"/>
    <col min="7157" max="7157" width="32" style="56" customWidth="1"/>
    <col min="7158" max="7158" width="19.28515625" style="56" customWidth="1"/>
    <col min="7159" max="7159" width="12.140625" style="56" customWidth="1"/>
    <col min="7160" max="7160" width="15.140625" style="56" customWidth="1"/>
    <col min="7161" max="7161" width="12" style="56" customWidth="1"/>
    <col min="7162" max="7162" width="18.140625" style="56" customWidth="1"/>
    <col min="7163" max="7163" width="19.28515625" style="56" customWidth="1"/>
    <col min="7164" max="7164" width="35.42578125" style="56" customWidth="1"/>
    <col min="7165" max="7165" width="12.7109375" style="56" customWidth="1"/>
    <col min="7166" max="7166" width="30.42578125" style="56" customWidth="1"/>
    <col min="7167" max="7167" width="20.140625" style="56" customWidth="1"/>
    <col min="7168" max="7172" width="11.42578125" style="56"/>
    <col min="7173" max="7173" width="13.42578125" style="56" customWidth="1"/>
    <col min="7174" max="7412" width="11.42578125" style="56"/>
    <col min="7413" max="7413" width="32" style="56" customWidth="1"/>
    <col min="7414" max="7414" width="19.28515625" style="56" customWidth="1"/>
    <col min="7415" max="7415" width="12.140625" style="56" customWidth="1"/>
    <col min="7416" max="7416" width="15.140625" style="56" customWidth="1"/>
    <col min="7417" max="7417" width="12" style="56" customWidth="1"/>
    <col min="7418" max="7418" width="18.140625" style="56" customWidth="1"/>
    <col min="7419" max="7419" width="19.28515625" style="56" customWidth="1"/>
    <col min="7420" max="7420" width="35.42578125" style="56" customWidth="1"/>
    <col min="7421" max="7421" width="12.7109375" style="56" customWidth="1"/>
    <col min="7422" max="7422" width="30.42578125" style="56" customWidth="1"/>
    <col min="7423" max="7423" width="20.140625" style="56" customWidth="1"/>
    <col min="7424" max="7428" width="11.42578125" style="56"/>
    <col min="7429" max="7429" width="13.42578125" style="56" customWidth="1"/>
    <col min="7430" max="7668" width="11.42578125" style="56"/>
    <col min="7669" max="7669" width="32" style="56" customWidth="1"/>
    <col min="7670" max="7670" width="19.28515625" style="56" customWidth="1"/>
    <col min="7671" max="7671" width="12.140625" style="56" customWidth="1"/>
    <col min="7672" max="7672" width="15.140625" style="56" customWidth="1"/>
    <col min="7673" max="7673" width="12" style="56" customWidth="1"/>
    <col min="7674" max="7674" width="18.140625" style="56" customWidth="1"/>
    <col min="7675" max="7675" width="19.28515625" style="56" customWidth="1"/>
    <col min="7676" max="7676" width="35.42578125" style="56" customWidth="1"/>
    <col min="7677" max="7677" width="12.7109375" style="56" customWidth="1"/>
    <col min="7678" max="7678" width="30.42578125" style="56" customWidth="1"/>
    <col min="7679" max="7679" width="20.140625" style="56" customWidth="1"/>
    <col min="7680" max="7684" width="11.42578125" style="56"/>
    <col min="7685" max="7685" width="13.42578125" style="56" customWidth="1"/>
    <col min="7686" max="7924" width="11.42578125" style="56"/>
    <col min="7925" max="7925" width="32" style="56" customWidth="1"/>
    <col min="7926" max="7926" width="19.28515625" style="56" customWidth="1"/>
    <col min="7927" max="7927" width="12.140625" style="56" customWidth="1"/>
    <col min="7928" max="7928" width="15.140625" style="56" customWidth="1"/>
    <col min="7929" max="7929" width="12" style="56" customWidth="1"/>
    <col min="7930" max="7930" width="18.140625" style="56" customWidth="1"/>
    <col min="7931" max="7931" width="19.28515625" style="56" customWidth="1"/>
    <col min="7932" max="7932" width="35.42578125" style="56" customWidth="1"/>
    <col min="7933" max="7933" width="12.7109375" style="56" customWidth="1"/>
    <col min="7934" max="7934" width="30.42578125" style="56" customWidth="1"/>
    <col min="7935" max="7935" width="20.140625" style="56" customWidth="1"/>
    <col min="7936" max="7940" width="11.42578125" style="56"/>
    <col min="7941" max="7941" width="13.42578125" style="56" customWidth="1"/>
    <col min="7942" max="8180" width="11.42578125" style="56"/>
    <col min="8181" max="8181" width="32" style="56" customWidth="1"/>
    <col min="8182" max="8182" width="19.28515625" style="56" customWidth="1"/>
    <col min="8183" max="8183" width="12.140625" style="56" customWidth="1"/>
    <col min="8184" max="8184" width="15.140625" style="56" customWidth="1"/>
    <col min="8185" max="8185" width="12" style="56" customWidth="1"/>
    <col min="8186" max="8186" width="18.140625" style="56" customWidth="1"/>
    <col min="8187" max="8187" width="19.28515625" style="56" customWidth="1"/>
    <col min="8188" max="8188" width="35.42578125" style="56" customWidth="1"/>
    <col min="8189" max="8189" width="12.7109375" style="56" customWidth="1"/>
    <col min="8190" max="8190" width="30.42578125" style="56" customWidth="1"/>
    <col min="8191" max="8191" width="20.140625" style="56" customWidth="1"/>
    <col min="8192" max="8196" width="11.42578125" style="56"/>
    <col min="8197" max="8197" width="13.42578125" style="56" customWidth="1"/>
    <col min="8198" max="8436" width="11.42578125" style="56"/>
    <col min="8437" max="8437" width="32" style="56" customWidth="1"/>
    <col min="8438" max="8438" width="19.28515625" style="56" customWidth="1"/>
    <col min="8439" max="8439" width="12.140625" style="56" customWidth="1"/>
    <col min="8440" max="8440" width="15.140625" style="56" customWidth="1"/>
    <col min="8441" max="8441" width="12" style="56" customWidth="1"/>
    <col min="8442" max="8442" width="18.140625" style="56" customWidth="1"/>
    <col min="8443" max="8443" width="19.28515625" style="56" customWidth="1"/>
    <col min="8444" max="8444" width="35.42578125" style="56" customWidth="1"/>
    <col min="8445" max="8445" width="12.7109375" style="56" customWidth="1"/>
    <col min="8446" max="8446" width="30.42578125" style="56" customWidth="1"/>
    <col min="8447" max="8447" width="20.140625" style="56" customWidth="1"/>
    <col min="8448" max="8452" width="11.42578125" style="56"/>
    <col min="8453" max="8453" width="13.42578125" style="56" customWidth="1"/>
    <col min="8454" max="8692" width="11.42578125" style="56"/>
    <col min="8693" max="8693" width="32" style="56" customWidth="1"/>
    <col min="8694" max="8694" width="19.28515625" style="56" customWidth="1"/>
    <col min="8695" max="8695" width="12.140625" style="56" customWidth="1"/>
    <col min="8696" max="8696" width="15.140625" style="56" customWidth="1"/>
    <col min="8697" max="8697" width="12" style="56" customWidth="1"/>
    <col min="8698" max="8698" width="18.140625" style="56" customWidth="1"/>
    <col min="8699" max="8699" width="19.28515625" style="56" customWidth="1"/>
    <col min="8700" max="8700" width="35.42578125" style="56" customWidth="1"/>
    <col min="8701" max="8701" width="12.7109375" style="56" customWidth="1"/>
    <col min="8702" max="8702" width="30.42578125" style="56" customWidth="1"/>
    <col min="8703" max="8703" width="20.140625" style="56" customWidth="1"/>
    <col min="8704" max="8708" width="11.42578125" style="56"/>
    <col min="8709" max="8709" width="13.42578125" style="56" customWidth="1"/>
    <col min="8710" max="8948" width="11.42578125" style="56"/>
    <col min="8949" max="8949" width="32" style="56" customWidth="1"/>
    <col min="8950" max="8950" width="19.28515625" style="56" customWidth="1"/>
    <col min="8951" max="8951" width="12.140625" style="56" customWidth="1"/>
    <col min="8952" max="8952" width="15.140625" style="56" customWidth="1"/>
    <col min="8953" max="8953" width="12" style="56" customWidth="1"/>
    <col min="8954" max="8954" width="18.140625" style="56" customWidth="1"/>
    <col min="8955" max="8955" width="19.28515625" style="56" customWidth="1"/>
    <col min="8956" max="8956" width="35.42578125" style="56" customWidth="1"/>
    <col min="8957" max="8957" width="12.7109375" style="56" customWidth="1"/>
    <col min="8958" max="8958" width="30.42578125" style="56" customWidth="1"/>
    <col min="8959" max="8959" width="20.140625" style="56" customWidth="1"/>
    <col min="8960" max="8964" width="11.42578125" style="56"/>
    <col min="8965" max="8965" width="13.42578125" style="56" customWidth="1"/>
    <col min="8966" max="9204" width="11.42578125" style="56"/>
    <col min="9205" max="9205" width="32" style="56" customWidth="1"/>
    <col min="9206" max="9206" width="19.28515625" style="56" customWidth="1"/>
    <col min="9207" max="9207" width="12.140625" style="56" customWidth="1"/>
    <col min="9208" max="9208" width="15.140625" style="56" customWidth="1"/>
    <col min="9209" max="9209" width="12" style="56" customWidth="1"/>
    <col min="9210" max="9210" width="18.140625" style="56" customWidth="1"/>
    <col min="9211" max="9211" width="19.28515625" style="56" customWidth="1"/>
    <col min="9212" max="9212" width="35.42578125" style="56" customWidth="1"/>
    <col min="9213" max="9213" width="12.7109375" style="56" customWidth="1"/>
    <col min="9214" max="9214" width="30.42578125" style="56" customWidth="1"/>
    <col min="9215" max="9215" width="20.140625" style="56" customWidth="1"/>
    <col min="9216" max="9220" width="11.42578125" style="56"/>
    <col min="9221" max="9221" width="13.42578125" style="56" customWidth="1"/>
    <col min="9222" max="9460" width="11.42578125" style="56"/>
    <col min="9461" max="9461" width="32" style="56" customWidth="1"/>
    <col min="9462" max="9462" width="19.28515625" style="56" customWidth="1"/>
    <col min="9463" max="9463" width="12.140625" style="56" customWidth="1"/>
    <col min="9464" max="9464" width="15.140625" style="56" customWidth="1"/>
    <col min="9465" max="9465" width="12" style="56" customWidth="1"/>
    <col min="9466" max="9466" width="18.140625" style="56" customWidth="1"/>
    <col min="9467" max="9467" width="19.28515625" style="56" customWidth="1"/>
    <col min="9468" max="9468" width="35.42578125" style="56" customWidth="1"/>
    <col min="9469" max="9469" width="12.7109375" style="56" customWidth="1"/>
    <col min="9470" max="9470" width="30.42578125" style="56" customWidth="1"/>
    <col min="9471" max="9471" width="20.140625" style="56" customWidth="1"/>
    <col min="9472" max="9476" width="11.42578125" style="56"/>
    <col min="9477" max="9477" width="13.42578125" style="56" customWidth="1"/>
    <col min="9478" max="9716" width="11.42578125" style="56"/>
    <col min="9717" max="9717" width="32" style="56" customWidth="1"/>
    <col min="9718" max="9718" width="19.28515625" style="56" customWidth="1"/>
    <col min="9719" max="9719" width="12.140625" style="56" customWidth="1"/>
    <col min="9720" max="9720" width="15.140625" style="56" customWidth="1"/>
    <col min="9721" max="9721" width="12" style="56" customWidth="1"/>
    <col min="9722" max="9722" width="18.140625" style="56" customWidth="1"/>
    <col min="9723" max="9723" width="19.28515625" style="56" customWidth="1"/>
    <col min="9724" max="9724" width="35.42578125" style="56" customWidth="1"/>
    <col min="9725" max="9725" width="12.7109375" style="56" customWidth="1"/>
    <col min="9726" max="9726" width="30.42578125" style="56" customWidth="1"/>
    <col min="9727" max="9727" width="20.140625" style="56" customWidth="1"/>
    <col min="9728" max="9732" width="11.42578125" style="56"/>
    <col min="9733" max="9733" width="13.42578125" style="56" customWidth="1"/>
    <col min="9734" max="9972" width="11.42578125" style="56"/>
    <col min="9973" max="9973" width="32" style="56" customWidth="1"/>
    <col min="9974" max="9974" width="19.28515625" style="56" customWidth="1"/>
    <col min="9975" max="9975" width="12.140625" style="56" customWidth="1"/>
    <col min="9976" max="9976" width="15.140625" style="56" customWidth="1"/>
    <col min="9977" max="9977" width="12" style="56" customWidth="1"/>
    <col min="9978" max="9978" width="18.140625" style="56" customWidth="1"/>
    <col min="9979" max="9979" width="19.28515625" style="56" customWidth="1"/>
    <col min="9980" max="9980" width="35.42578125" style="56" customWidth="1"/>
    <col min="9981" max="9981" width="12.7109375" style="56" customWidth="1"/>
    <col min="9982" max="9982" width="30.42578125" style="56" customWidth="1"/>
    <col min="9983" max="9983" width="20.140625" style="56" customWidth="1"/>
    <col min="9984" max="9988" width="11.42578125" style="56"/>
    <col min="9989" max="9989" width="13.42578125" style="56" customWidth="1"/>
    <col min="9990" max="10228" width="11.42578125" style="56"/>
    <col min="10229" max="10229" width="32" style="56" customWidth="1"/>
    <col min="10230" max="10230" width="19.28515625" style="56" customWidth="1"/>
    <col min="10231" max="10231" width="12.140625" style="56" customWidth="1"/>
    <col min="10232" max="10232" width="15.140625" style="56" customWidth="1"/>
    <col min="10233" max="10233" width="12" style="56" customWidth="1"/>
    <col min="10234" max="10234" width="18.140625" style="56" customWidth="1"/>
    <col min="10235" max="10235" width="19.28515625" style="56" customWidth="1"/>
    <col min="10236" max="10236" width="35.42578125" style="56" customWidth="1"/>
    <col min="10237" max="10237" width="12.7109375" style="56" customWidth="1"/>
    <col min="10238" max="10238" width="30.42578125" style="56" customWidth="1"/>
    <col min="10239" max="10239" width="20.140625" style="56" customWidth="1"/>
    <col min="10240" max="10244" width="11.42578125" style="56"/>
    <col min="10245" max="10245" width="13.42578125" style="56" customWidth="1"/>
    <col min="10246" max="10484" width="11.42578125" style="56"/>
    <col min="10485" max="10485" width="32" style="56" customWidth="1"/>
    <col min="10486" max="10486" width="19.28515625" style="56" customWidth="1"/>
    <col min="10487" max="10487" width="12.140625" style="56" customWidth="1"/>
    <col min="10488" max="10488" width="15.140625" style="56" customWidth="1"/>
    <col min="10489" max="10489" width="12" style="56" customWidth="1"/>
    <col min="10490" max="10490" width="18.140625" style="56" customWidth="1"/>
    <col min="10491" max="10491" width="19.28515625" style="56" customWidth="1"/>
    <col min="10492" max="10492" width="35.42578125" style="56" customWidth="1"/>
    <col min="10493" max="10493" width="12.7109375" style="56" customWidth="1"/>
    <col min="10494" max="10494" width="30.42578125" style="56" customWidth="1"/>
    <col min="10495" max="10495" width="20.140625" style="56" customWidth="1"/>
    <col min="10496" max="10500" width="11.42578125" style="56"/>
    <col min="10501" max="10501" width="13.42578125" style="56" customWidth="1"/>
    <col min="10502" max="10740" width="11.42578125" style="56"/>
    <col min="10741" max="10741" width="32" style="56" customWidth="1"/>
    <col min="10742" max="10742" width="19.28515625" style="56" customWidth="1"/>
    <col min="10743" max="10743" width="12.140625" style="56" customWidth="1"/>
    <col min="10744" max="10744" width="15.140625" style="56" customWidth="1"/>
    <col min="10745" max="10745" width="12" style="56" customWidth="1"/>
    <col min="10746" max="10746" width="18.140625" style="56" customWidth="1"/>
    <col min="10747" max="10747" width="19.28515625" style="56" customWidth="1"/>
    <col min="10748" max="10748" width="35.42578125" style="56" customWidth="1"/>
    <col min="10749" max="10749" width="12.7109375" style="56" customWidth="1"/>
    <col min="10750" max="10750" width="30.42578125" style="56" customWidth="1"/>
    <col min="10751" max="10751" width="20.140625" style="56" customWidth="1"/>
    <col min="10752" max="10756" width="11.42578125" style="56"/>
    <col min="10757" max="10757" width="13.42578125" style="56" customWidth="1"/>
    <col min="10758" max="10996" width="11.42578125" style="56"/>
    <col min="10997" max="10997" width="32" style="56" customWidth="1"/>
    <col min="10998" max="10998" width="19.28515625" style="56" customWidth="1"/>
    <col min="10999" max="10999" width="12.140625" style="56" customWidth="1"/>
    <col min="11000" max="11000" width="15.140625" style="56" customWidth="1"/>
    <col min="11001" max="11001" width="12" style="56" customWidth="1"/>
    <col min="11002" max="11002" width="18.140625" style="56" customWidth="1"/>
    <col min="11003" max="11003" width="19.28515625" style="56" customWidth="1"/>
    <col min="11004" max="11004" width="35.42578125" style="56" customWidth="1"/>
    <col min="11005" max="11005" width="12.7109375" style="56" customWidth="1"/>
    <col min="11006" max="11006" width="30.42578125" style="56" customWidth="1"/>
    <col min="11007" max="11007" width="20.140625" style="56" customWidth="1"/>
    <col min="11008" max="11012" width="11.42578125" style="56"/>
    <col min="11013" max="11013" width="13.42578125" style="56" customWidth="1"/>
    <col min="11014" max="11252" width="11.42578125" style="56"/>
    <col min="11253" max="11253" width="32" style="56" customWidth="1"/>
    <col min="11254" max="11254" width="19.28515625" style="56" customWidth="1"/>
    <col min="11255" max="11255" width="12.140625" style="56" customWidth="1"/>
    <col min="11256" max="11256" width="15.140625" style="56" customWidth="1"/>
    <col min="11257" max="11257" width="12" style="56" customWidth="1"/>
    <col min="11258" max="11258" width="18.140625" style="56" customWidth="1"/>
    <col min="11259" max="11259" width="19.28515625" style="56" customWidth="1"/>
    <col min="11260" max="11260" width="35.42578125" style="56" customWidth="1"/>
    <col min="11261" max="11261" width="12.7109375" style="56" customWidth="1"/>
    <col min="11262" max="11262" width="30.42578125" style="56" customWidth="1"/>
    <col min="11263" max="11263" width="20.140625" style="56" customWidth="1"/>
    <col min="11264" max="11268" width="11.42578125" style="56"/>
    <col min="11269" max="11269" width="13.42578125" style="56" customWidth="1"/>
    <col min="11270" max="11508" width="11.42578125" style="56"/>
    <col min="11509" max="11509" width="32" style="56" customWidth="1"/>
    <col min="11510" max="11510" width="19.28515625" style="56" customWidth="1"/>
    <col min="11511" max="11511" width="12.140625" style="56" customWidth="1"/>
    <col min="11512" max="11512" width="15.140625" style="56" customWidth="1"/>
    <col min="11513" max="11513" width="12" style="56" customWidth="1"/>
    <col min="11514" max="11514" width="18.140625" style="56" customWidth="1"/>
    <col min="11515" max="11515" width="19.28515625" style="56" customWidth="1"/>
    <col min="11516" max="11516" width="35.42578125" style="56" customWidth="1"/>
    <col min="11517" max="11517" width="12.7109375" style="56" customWidth="1"/>
    <col min="11518" max="11518" width="30.42578125" style="56" customWidth="1"/>
    <col min="11519" max="11519" width="20.140625" style="56" customWidth="1"/>
    <col min="11520" max="11524" width="11.42578125" style="56"/>
    <col min="11525" max="11525" width="13.42578125" style="56" customWidth="1"/>
    <col min="11526" max="11764" width="11.42578125" style="56"/>
    <col min="11765" max="11765" width="32" style="56" customWidth="1"/>
    <col min="11766" max="11766" width="19.28515625" style="56" customWidth="1"/>
    <col min="11767" max="11767" width="12.140625" style="56" customWidth="1"/>
    <col min="11768" max="11768" width="15.140625" style="56" customWidth="1"/>
    <col min="11769" max="11769" width="12" style="56" customWidth="1"/>
    <col min="11770" max="11770" width="18.140625" style="56" customWidth="1"/>
    <col min="11771" max="11771" width="19.28515625" style="56" customWidth="1"/>
    <col min="11772" max="11772" width="35.42578125" style="56" customWidth="1"/>
    <col min="11773" max="11773" width="12.7109375" style="56" customWidth="1"/>
    <col min="11774" max="11774" width="30.42578125" style="56" customWidth="1"/>
    <col min="11775" max="11775" width="20.140625" style="56" customWidth="1"/>
    <col min="11776" max="11780" width="11.42578125" style="56"/>
    <col min="11781" max="11781" width="13.42578125" style="56" customWidth="1"/>
    <col min="11782" max="12020" width="11.42578125" style="56"/>
    <col min="12021" max="12021" width="32" style="56" customWidth="1"/>
    <col min="12022" max="12022" width="19.28515625" style="56" customWidth="1"/>
    <col min="12023" max="12023" width="12.140625" style="56" customWidth="1"/>
    <col min="12024" max="12024" width="15.140625" style="56" customWidth="1"/>
    <col min="12025" max="12025" width="12" style="56" customWidth="1"/>
    <col min="12026" max="12026" width="18.140625" style="56" customWidth="1"/>
    <col min="12027" max="12027" width="19.28515625" style="56" customWidth="1"/>
    <col min="12028" max="12028" width="35.42578125" style="56" customWidth="1"/>
    <col min="12029" max="12029" width="12.7109375" style="56" customWidth="1"/>
    <col min="12030" max="12030" width="30.42578125" style="56" customWidth="1"/>
    <col min="12031" max="12031" width="20.140625" style="56" customWidth="1"/>
    <col min="12032" max="12036" width="11.42578125" style="56"/>
    <col min="12037" max="12037" width="13.42578125" style="56" customWidth="1"/>
    <col min="12038" max="12276" width="11.42578125" style="56"/>
    <col min="12277" max="12277" width="32" style="56" customWidth="1"/>
    <col min="12278" max="12278" width="19.28515625" style="56" customWidth="1"/>
    <col min="12279" max="12279" width="12.140625" style="56" customWidth="1"/>
    <col min="12280" max="12280" width="15.140625" style="56" customWidth="1"/>
    <col min="12281" max="12281" width="12" style="56" customWidth="1"/>
    <col min="12282" max="12282" width="18.140625" style="56" customWidth="1"/>
    <col min="12283" max="12283" width="19.28515625" style="56" customWidth="1"/>
    <col min="12284" max="12284" width="35.42578125" style="56" customWidth="1"/>
    <col min="12285" max="12285" width="12.7109375" style="56" customWidth="1"/>
    <col min="12286" max="12286" width="30.42578125" style="56" customWidth="1"/>
    <col min="12287" max="12287" width="20.140625" style="56" customWidth="1"/>
    <col min="12288" max="12292" width="11.42578125" style="56"/>
    <col min="12293" max="12293" width="13.42578125" style="56" customWidth="1"/>
    <col min="12294" max="12532" width="11.42578125" style="56"/>
    <col min="12533" max="12533" width="32" style="56" customWidth="1"/>
    <col min="12534" max="12534" width="19.28515625" style="56" customWidth="1"/>
    <col min="12535" max="12535" width="12.140625" style="56" customWidth="1"/>
    <col min="12536" max="12536" width="15.140625" style="56" customWidth="1"/>
    <col min="12537" max="12537" width="12" style="56" customWidth="1"/>
    <col min="12538" max="12538" width="18.140625" style="56" customWidth="1"/>
    <col min="12539" max="12539" width="19.28515625" style="56" customWidth="1"/>
    <col min="12540" max="12540" width="35.42578125" style="56" customWidth="1"/>
    <col min="12541" max="12541" width="12.7109375" style="56" customWidth="1"/>
    <col min="12542" max="12542" width="30.42578125" style="56" customWidth="1"/>
    <col min="12543" max="12543" width="20.140625" style="56" customWidth="1"/>
    <col min="12544" max="12548" width="11.42578125" style="56"/>
    <col min="12549" max="12549" width="13.42578125" style="56" customWidth="1"/>
    <col min="12550" max="12788" width="11.42578125" style="56"/>
    <col min="12789" max="12789" width="32" style="56" customWidth="1"/>
    <col min="12790" max="12790" width="19.28515625" style="56" customWidth="1"/>
    <col min="12791" max="12791" width="12.140625" style="56" customWidth="1"/>
    <col min="12792" max="12792" width="15.140625" style="56" customWidth="1"/>
    <col min="12793" max="12793" width="12" style="56" customWidth="1"/>
    <col min="12794" max="12794" width="18.140625" style="56" customWidth="1"/>
    <col min="12795" max="12795" width="19.28515625" style="56" customWidth="1"/>
    <col min="12796" max="12796" width="35.42578125" style="56" customWidth="1"/>
    <col min="12797" max="12797" width="12.7109375" style="56" customWidth="1"/>
    <col min="12798" max="12798" width="30.42578125" style="56" customWidth="1"/>
    <col min="12799" max="12799" width="20.140625" style="56" customWidth="1"/>
    <col min="12800" max="12804" width="11.42578125" style="56"/>
    <col min="12805" max="12805" width="13.42578125" style="56" customWidth="1"/>
    <col min="12806" max="13044" width="11.42578125" style="56"/>
    <col min="13045" max="13045" width="32" style="56" customWidth="1"/>
    <col min="13046" max="13046" width="19.28515625" style="56" customWidth="1"/>
    <col min="13047" max="13047" width="12.140625" style="56" customWidth="1"/>
    <col min="13048" max="13048" width="15.140625" style="56" customWidth="1"/>
    <col min="13049" max="13049" width="12" style="56" customWidth="1"/>
    <col min="13050" max="13050" width="18.140625" style="56" customWidth="1"/>
    <col min="13051" max="13051" width="19.28515625" style="56" customWidth="1"/>
    <col min="13052" max="13052" width="35.42578125" style="56" customWidth="1"/>
    <col min="13053" max="13053" width="12.7109375" style="56" customWidth="1"/>
    <col min="13054" max="13054" width="30.42578125" style="56" customWidth="1"/>
    <col min="13055" max="13055" width="20.140625" style="56" customWidth="1"/>
    <col min="13056" max="13060" width="11.42578125" style="56"/>
    <col min="13061" max="13061" width="13.42578125" style="56" customWidth="1"/>
    <col min="13062" max="13300" width="11.42578125" style="56"/>
    <col min="13301" max="13301" width="32" style="56" customWidth="1"/>
    <col min="13302" max="13302" width="19.28515625" style="56" customWidth="1"/>
    <col min="13303" max="13303" width="12.140625" style="56" customWidth="1"/>
    <col min="13304" max="13304" width="15.140625" style="56" customWidth="1"/>
    <col min="13305" max="13305" width="12" style="56" customWidth="1"/>
    <col min="13306" max="13306" width="18.140625" style="56" customWidth="1"/>
    <col min="13307" max="13307" width="19.28515625" style="56" customWidth="1"/>
    <col min="13308" max="13308" width="35.42578125" style="56" customWidth="1"/>
    <col min="13309" max="13309" width="12.7109375" style="56" customWidth="1"/>
    <col min="13310" max="13310" width="30.42578125" style="56" customWidth="1"/>
    <col min="13311" max="13311" width="20.140625" style="56" customWidth="1"/>
    <col min="13312" max="13316" width="11.42578125" style="56"/>
    <col min="13317" max="13317" width="13.42578125" style="56" customWidth="1"/>
    <col min="13318" max="13556" width="11.42578125" style="56"/>
    <col min="13557" max="13557" width="32" style="56" customWidth="1"/>
    <col min="13558" max="13558" width="19.28515625" style="56" customWidth="1"/>
    <col min="13559" max="13559" width="12.140625" style="56" customWidth="1"/>
    <col min="13560" max="13560" width="15.140625" style="56" customWidth="1"/>
    <col min="13561" max="13561" width="12" style="56" customWidth="1"/>
    <col min="13562" max="13562" width="18.140625" style="56" customWidth="1"/>
    <col min="13563" max="13563" width="19.28515625" style="56" customWidth="1"/>
    <col min="13564" max="13564" width="35.42578125" style="56" customWidth="1"/>
    <col min="13565" max="13565" width="12.7109375" style="56" customWidth="1"/>
    <col min="13566" max="13566" width="30.42578125" style="56" customWidth="1"/>
    <col min="13567" max="13567" width="20.140625" style="56" customWidth="1"/>
    <col min="13568" max="13572" width="11.42578125" style="56"/>
    <col min="13573" max="13573" width="13.42578125" style="56" customWidth="1"/>
    <col min="13574" max="13812" width="11.42578125" style="56"/>
    <col min="13813" max="13813" width="32" style="56" customWidth="1"/>
    <col min="13814" max="13814" width="19.28515625" style="56" customWidth="1"/>
    <col min="13815" max="13815" width="12.140625" style="56" customWidth="1"/>
    <col min="13816" max="13816" width="15.140625" style="56" customWidth="1"/>
    <col min="13817" max="13817" width="12" style="56" customWidth="1"/>
    <col min="13818" max="13818" width="18.140625" style="56" customWidth="1"/>
    <col min="13819" max="13819" width="19.28515625" style="56" customWidth="1"/>
    <col min="13820" max="13820" width="35.42578125" style="56" customWidth="1"/>
    <col min="13821" max="13821" width="12.7109375" style="56" customWidth="1"/>
    <col min="13822" max="13822" width="30.42578125" style="56" customWidth="1"/>
    <col min="13823" max="13823" width="20.140625" style="56" customWidth="1"/>
    <col min="13824" max="13828" width="11.42578125" style="56"/>
    <col min="13829" max="13829" width="13.42578125" style="56" customWidth="1"/>
    <col min="13830" max="14068" width="11.42578125" style="56"/>
    <col min="14069" max="14069" width="32" style="56" customWidth="1"/>
    <col min="14070" max="14070" width="19.28515625" style="56" customWidth="1"/>
    <col min="14071" max="14071" width="12.140625" style="56" customWidth="1"/>
    <col min="14072" max="14072" width="15.140625" style="56" customWidth="1"/>
    <col min="14073" max="14073" width="12" style="56" customWidth="1"/>
    <col min="14074" max="14074" width="18.140625" style="56" customWidth="1"/>
    <col min="14075" max="14075" width="19.28515625" style="56" customWidth="1"/>
    <col min="14076" max="14076" width="35.42578125" style="56" customWidth="1"/>
    <col min="14077" max="14077" width="12.7109375" style="56" customWidth="1"/>
    <col min="14078" max="14078" width="30.42578125" style="56" customWidth="1"/>
    <col min="14079" max="14079" width="20.140625" style="56" customWidth="1"/>
    <col min="14080" max="14084" width="11.42578125" style="56"/>
    <col min="14085" max="14085" width="13.42578125" style="56" customWidth="1"/>
    <col min="14086" max="14324" width="11.42578125" style="56"/>
    <col min="14325" max="14325" width="32" style="56" customWidth="1"/>
    <col min="14326" max="14326" width="19.28515625" style="56" customWidth="1"/>
    <col min="14327" max="14327" width="12.140625" style="56" customWidth="1"/>
    <col min="14328" max="14328" width="15.140625" style="56" customWidth="1"/>
    <col min="14329" max="14329" width="12" style="56" customWidth="1"/>
    <col min="14330" max="14330" width="18.140625" style="56" customWidth="1"/>
    <col min="14331" max="14331" width="19.28515625" style="56" customWidth="1"/>
    <col min="14332" max="14332" width="35.42578125" style="56" customWidth="1"/>
    <col min="14333" max="14333" width="12.7109375" style="56" customWidth="1"/>
    <col min="14334" max="14334" width="30.42578125" style="56" customWidth="1"/>
    <col min="14335" max="14335" width="20.140625" style="56" customWidth="1"/>
    <col min="14336" max="14340" width="11.42578125" style="56"/>
    <col min="14341" max="14341" width="13.42578125" style="56" customWidth="1"/>
    <col min="14342" max="14580" width="11.42578125" style="56"/>
    <col min="14581" max="14581" width="32" style="56" customWidth="1"/>
    <col min="14582" max="14582" width="19.28515625" style="56" customWidth="1"/>
    <col min="14583" max="14583" width="12.140625" style="56" customWidth="1"/>
    <col min="14584" max="14584" width="15.140625" style="56" customWidth="1"/>
    <col min="14585" max="14585" width="12" style="56" customWidth="1"/>
    <col min="14586" max="14586" width="18.140625" style="56" customWidth="1"/>
    <col min="14587" max="14587" width="19.28515625" style="56" customWidth="1"/>
    <col min="14588" max="14588" width="35.42578125" style="56" customWidth="1"/>
    <col min="14589" max="14589" width="12.7109375" style="56" customWidth="1"/>
    <col min="14590" max="14590" width="30.42578125" style="56" customWidth="1"/>
    <col min="14591" max="14591" width="20.140625" style="56" customWidth="1"/>
    <col min="14592" max="14596" width="11.42578125" style="56"/>
    <col min="14597" max="14597" width="13.42578125" style="56" customWidth="1"/>
    <col min="14598" max="14836" width="11.42578125" style="56"/>
    <col min="14837" max="14837" width="32" style="56" customWidth="1"/>
    <col min="14838" max="14838" width="19.28515625" style="56" customWidth="1"/>
    <col min="14839" max="14839" width="12.140625" style="56" customWidth="1"/>
    <col min="14840" max="14840" width="15.140625" style="56" customWidth="1"/>
    <col min="14841" max="14841" width="12" style="56" customWidth="1"/>
    <col min="14842" max="14842" width="18.140625" style="56" customWidth="1"/>
    <col min="14843" max="14843" width="19.28515625" style="56" customWidth="1"/>
    <col min="14844" max="14844" width="35.42578125" style="56" customWidth="1"/>
    <col min="14845" max="14845" width="12.7109375" style="56" customWidth="1"/>
    <col min="14846" max="14846" width="30.42578125" style="56" customWidth="1"/>
    <col min="14847" max="14847" width="20.140625" style="56" customWidth="1"/>
    <col min="14848" max="14852" width="11.42578125" style="56"/>
    <col min="14853" max="14853" width="13.42578125" style="56" customWidth="1"/>
    <col min="14854" max="15092" width="11.42578125" style="56"/>
    <col min="15093" max="15093" width="32" style="56" customWidth="1"/>
    <col min="15094" max="15094" width="19.28515625" style="56" customWidth="1"/>
    <col min="15095" max="15095" width="12.140625" style="56" customWidth="1"/>
    <col min="15096" max="15096" width="15.140625" style="56" customWidth="1"/>
    <col min="15097" max="15097" width="12" style="56" customWidth="1"/>
    <col min="15098" max="15098" width="18.140625" style="56" customWidth="1"/>
    <col min="15099" max="15099" width="19.28515625" style="56" customWidth="1"/>
    <col min="15100" max="15100" width="35.42578125" style="56" customWidth="1"/>
    <col min="15101" max="15101" width="12.7109375" style="56" customWidth="1"/>
    <col min="15102" max="15102" width="30.42578125" style="56" customWidth="1"/>
    <col min="15103" max="15103" width="20.140625" style="56" customWidth="1"/>
    <col min="15104" max="15108" width="11.42578125" style="56"/>
    <col min="15109" max="15109" width="13.42578125" style="56" customWidth="1"/>
    <col min="15110" max="15348" width="11.42578125" style="56"/>
    <col min="15349" max="15349" width="32" style="56" customWidth="1"/>
    <col min="15350" max="15350" width="19.28515625" style="56" customWidth="1"/>
    <col min="15351" max="15351" width="12.140625" style="56" customWidth="1"/>
    <col min="15352" max="15352" width="15.140625" style="56" customWidth="1"/>
    <col min="15353" max="15353" width="12" style="56" customWidth="1"/>
    <col min="15354" max="15354" width="18.140625" style="56" customWidth="1"/>
    <col min="15355" max="15355" width="19.28515625" style="56" customWidth="1"/>
    <col min="15356" max="15356" width="35.42578125" style="56" customWidth="1"/>
    <col min="15357" max="15357" width="12.7109375" style="56" customWidth="1"/>
    <col min="15358" max="15358" width="30.42578125" style="56" customWidth="1"/>
    <col min="15359" max="15359" width="20.140625" style="56" customWidth="1"/>
    <col min="15360" max="15364" width="11.42578125" style="56"/>
    <col min="15365" max="15365" width="13.42578125" style="56" customWidth="1"/>
    <col min="15366" max="15604" width="11.42578125" style="56"/>
    <col min="15605" max="15605" width="32" style="56" customWidth="1"/>
    <col min="15606" max="15606" width="19.28515625" style="56" customWidth="1"/>
    <col min="15607" max="15607" width="12.140625" style="56" customWidth="1"/>
    <col min="15608" max="15608" width="15.140625" style="56" customWidth="1"/>
    <col min="15609" max="15609" width="12" style="56" customWidth="1"/>
    <col min="15610" max="15610" width="18.140625" style="56" customWidth="1"/>
    <col min="15611" max="15611" width="19.28515625" style="56" customWidth="1"/>
    <col min="15612" max="15612" width="35.42578125" style="56" customWidth="1"/>
    <col min="15613" max="15613" width="12.7109375" style="56" customWidth="1"/>
    <col min="15614" max="15614" width="30.42578125" style="56" customWidth="1"/>
    <col min="15615" max="15615" width="20.140625" style="56" customWidth="1"/>
    <col min="15616" max="15620" width="11.42578125" style="56"/>
    <col min="15621" max="15621" width="13.42578125" style="56" customWidth="1"/>
    <col min="15622" max="15860" width="11.42578125" style="56"/>
    <col min="15861" max="15861" width="32" style="56" customWidth="1"/>
    <col min="15862" max="15862" width="19.28515625" style="56" customWidth="1"/>
    <col min="15863" max="15863" width="12.140625" style="56" customWidth="1"/>
    <col min="15864" max="15864" width="15.140625" style="56" customWidth="1"/>
    <col min="15865" max="15865" width="12" style="56" customWidth="1"/>
    <col min="15866" max="15866" width="18.140625" style="56" customWidth="1"/>
    <col min="15867" max="15867" width="19.28515625" style="56" customWidth="1"/>
    <col min="15868" max="15868" width="35.42578125" style="56" customWidth="1"/>
    <col min="15869" max="15869" width="12.7109375" style="56" customWidth="1"/>
    <col min="15870" max="15870" width="30.42578125" style="56" customWidth="1"/>
    <col min="15871" max="15871" width="20.140625" style="56" customWidth="1"/>
    <col min="15872" max="15876" width="11.42578125" style="56"/>
    <col min="15877" max="15877" width="13.42578125" style="56" customWidth="1"/>
    <col min="15878" max="16116" width="11.42578125" style="56"/>
    <col min="16117" max="16117" width="32" style="56" customWidth="1"/>
    <col min="16118" max="16118" width="19.28515625" style="56" customWidth="1"/>
    <col min="16119" max="16119" width="12.140625" style="56" customWidth="1"/>
    <col min="16120" max="16120" width="15.140625" style="56" customWidth="1"/>
    <col min="16121" max="16121" width="12" style="56" customWidth="1"/>
    <col min="16122" max="16122" width="18.140625" style="56" customWidth="1"/>
    <col min="16123" max="16123" width="19.28515625" style="56" customWidth="1"/>
    <col min="16124" max="16124" width="35.42578125" style="56" customWidth="1"/>
    <col min="16125" max="16125" width="12.7109375" style="56" customWidth="1"/>
    <col min="16126" max="16126" width="30.42578125" style="56" customWidth="1"/>
    <col min="16127" max="16127" width="20.140625" style="56" customWidth="1"/>
    <col min="16128" max="16132" width="11.42578125" style="56"/>
    <col min="16133" max="16133" width="13.42578125" style="56" customWidth="1"/>
    <col min="16134" max="16384" width="11.42578125" style="56"/>
  </cols>
  <sheetData>
    <row r="1" spans="1:11" customFormat="1" ht="15" x14ac:dyDescent="0.25">
      <c r="B1" s="33"/>
      <c r="C1" s="35"/>
      <c r="D1" s="35"/>
      <c r="E1" s="35"/>
      <c r="F1" s="35"/>
      <c r="G1" s="35"/>
      <c r="H1" s="35"/>
      <c r="I1" s="35"/>
      <c r="J1" s="35"/>
      <c r="K1" s="35"/>
    </row>
    <row r="2" spans="1:11" customFormat="1" ht="15" x14ac:dyDescent="0.25">
      <c r="B2" s="33"/>
      <c r="C2" s="41" t="s">
        <v>74</v>
      </c>
      <c r="D2" s="35"/>
      <c r="E2" s="35"/>
      <c r="F2" s="35"/>
      <c r="G2" s="35"/>
      <c r="H2" s="35"/>
      <c r="I2" s="35"/>
      <c r="J2" s="35"/>
      <c r="K2" s="35"/>
    </row>
    <row r="3" spans="1:11" customFormat="1" ht="15" x14ac:dyDescent="0.25">
      <c r="B3" s="33"/>
      <c r="C3" s="41" t="s">
        <v>103</v>
      </c>
      <c r="D3" s="35"/>
      <c r="E3" s="35"/>
      <c r="F3" s="35"/>
      <c r="G3" s="35"/>
      <c r="H3" s="35"/>
      <c r="I3" s="35"/>
      <c r="J3" s="35"/>
      <c r="K3" s="35"/>
    </row>
    <row r="4" spans="1:11" customFormat="1" ht="15" x14ac:dyDescent="0.25">
      <c r="B4" s="33"/>
      <c r="C4" s="35" t="s">
        <v>73</v>
      </c>
      <c r="D4" s="35"/>
      <c r="E4" s="35"/>
      <c r="F4" s="35"/>
      <c r="G4" s="35"/>
      <c r="H4" s="35"/>
      <c r="I4" s="35"/>
      <c r="J4" s="35"/>
      <c r="K4" s="35"/>
    </row>
    <row r="5" spans="1:11" customFormat="1" ht="15" x14ac:dyDescent="0.25">
      <c r="B5" s="33"/>
      <c r="C5" s="35"/>
      <c r="D5" s="35"/>
      <c r="E5" s="35"/>
      <c r="F5" s="35"/>
      <c r="G5" s="35"/>
      <c r="H5" s="35"/>
      <c r="I5" s="35"/>
      <c r="J5" s="35"/>
      <c r="K5" s="35"/>
    </row>
    <row r="7" spans="1:11" ht="16.5" thickBot="1" x14ac:dyDescent="0.3"/>
    <row r="8" spans="1:11" x14ac:dyDescent="0.25">
      <c r="A8" s="57" t="s">
        <v>104</v>
      </c>
      <c r="B8" s="167">
        <v>43835</v>
      </c>
      <c r="C8" s="168"/>
      <c r="D8" s="168"/>
      <c r="E8" s="168"/>
      <c r="F8" s="168"/>
      <c r="G8" s="168"/>
      <c r="H8" s="169" t="s">
        <v>105</v>
      </c>
    </row>
    <row r="9" spans="1:11" x14ac:dyDescent="0.25">
      <c r="A9" s="58" t="s">
        <v>106</v>
      </c>
      <c r="B9" s="172" t="s">
        <v>107</v>
      </c>
      <c r="C9" s="173"/>
      <c r="D9" s="173"/>
      <c r="E9" s="173"/>
      <c r="F9" s="173"/>
      <c r="G9" s="173"/>
      <c r="H9" s="170"/>
    </row>
    <row r="10" spans="1:11" x14ac:dyDescent="0.25">
      <c r="A10" s="58" t="s">
        <v>108</v>
      </c>
      <c r="B10" s="174" t="s">
        <v>109</v>
      </c>
      <c r="C10" s="175"/>
      <c r="D10" s="175"/>
      <c r="E10" s="176"/>
      <c r="F10" s="174" t="s">
        <v>110</v>
      </c>
      <c r="G10" s="175"/>
      <c r="H10" s="170"/>
    </row>
    <row r="11" spans="1:11" x14ac:dyDescent="0.25">
      <c r="A11" s="58" t="s">
        <v>111</v>
      </c>
      <c r="B11" s="177" t="s">
        <v>112</v>
      </c>
      <c r="C11" s="178"/>
      <c r="D11" s="178"/>
      <c r="E11" s="178"/>
      <c r="F11" s="178"/>
      <c r="G11" s="178"/>
      <c r="H11" s="170"/>
    </row>
    <row r="12" spans="1:11" x14ac:dyDescent="0.25">
      <c r="A12" s="58" t="s">
        <v>113</v>
      </c>
      <c r="B12" s="179" t="s">
        <v>114</v>
      </c>
      <c r="C12" s="180"/>
      <c r="D12" s="180"/>
      <c r="E12" s="180"/>
      <c r="F12" s="180"/>
      <c r="G12" s="180"/>
      <c r="H12" s="170"/>
    </row>
    <row r="13" spans="1:11" s="59" customFormat="1" x14ac:dyDescent="0.25">
      <c r="A13" s="58" t="s">
        <v>115</v>
      </c>
      <c r="B13" s="172" t="s">
        <v>116</v>
      </c>
      <c r="C13" s="173"/>
      <c r="D13" s="173"/>
      <c r="E13" s="173"/>
      <c r="F13" s="173"/>
      <c r="G13" s="173"/>
      <c r="H13" s="170"/>
    </row>
    <row r="14" spans="1:11" x14ac:dyDescent="0.25">
      <c r="A14" s="60" t="s">
        <v>117</v>
      </c>
      <c r="B14" s="181" t="s">
        <v>118</v>
      </c>
      <c r="C14" s="182"/>
      <c r="D14" s="182"/>
      <c r="E14" s="182"/>
      <c r="F14" s="182"/>
      <c r="G14" s="182"/>
      <c r="H14" s="171"/>
    </row>
    <row r="15" spans="1:11" x14ac:dyDescent="0.25">
      <c r="A15" s="56" t="s">
        <v>119</v>
      </c>
      <c r="B15" s="61"/>
      <c r="C15" s="62"/>
      <c r="D15" s="61"/>
      <c r="E15" s="61"/>
      <c r="F15" s="63" t="s">
        <v>120</v>
      </c>
      <c r="G15" s="64"/>
      <c r="H15" s="61"/>
    </row>
    <row r="16" spans="1:11" x14ac:dyDescent="0.25">
      <c r="A16" s="56" t="s">
        <v>121</v>
      </c>
      <c r="B16" s="61"/>
      <c r="C16" s="62"/>
      <c r="D16" s="61"/>
      <c r="E16" s="61"/>
      <c r="F16" s="65">
        <v>0.25</v>
      </c>
      <c r="G16" s="64"/>
      <c r="H16" s="61"/>
    </row>
    <row r="17" spans="1:9" ht="54" customHeight="1" x14ac:dyDescent="0.25">
      <c r="A17" s="66" t="s">
        <v>122</v>
      </c>
      <c r="B17" s="67" t="s">
        <v>123</v>
      </c>
      <c r="C17" s="66" t="s">
        <v>124</v>
      </c>
      <c r="D17" s="68" t="s">
        <v>125</v>
      </c>
      <c r="E17" s="66" t="s">
        <v>126</v>
      </c>
      <c r="F17" s="66" t="s">
        <v>127</v>
      </c>
      <c r="G17" s="69" t="s">
        <v>128</v>
      </c>
      <c r="H17" s="66" t="s">
        <v>129</v>
      </c>
      <c r="I17" s="69" t="s">
        <v>130</v>
      </c>
    </row>
    <row r="18" spans="1:9" x14ac:dyDescent="0.25">
      <c r="A18" s="70">
        <v>1</v>
      </c>
      <c r="B18" s="71" t="s">
        <v>131</v>
      </c>
      <c r="C18" s="72">
        <v>47</v>
      </c>
      <c r="D18" s="73">
        <v>1.4396117500000001</v>
      </c>
      <c r="E18" s="74">
        <v>0.85083971543882309</v>
      </c>
      <c r="F18" s="74">
        <v>4.1307972999999998E-2</v>
      </c>
      <c r="G18" s="73">
        <f>IF($F$15="Effective",D18/(1+(1-F18)*E18),D18/(1+(1-$F$16)*E18))</f>
        <v>0.87881421960241646</v>
      </c>
      <c r="H18" s="74">
        <v>6.00446383501319E-2</v>
      </c>
      <c r="I18" s="73">
        <f>G18/(1-H18)</f>
        <v>0.93495314294485965</v>
      </c>
    </row>
    <row r="19" spans="1:9" x14ac:dyDescent="0.25">
      <c r="A19" s="75">
        <v>2</v>
      </c>
      <c r="B19" s="71" t="s">
        <v>132</v>
      </c>
      <c r="C19" s="72">
        <v>77</v>
      </c>
      <c r="D19" s="73">
        <v>1.231583809</v>
      </c>
      <c r="E19" s="74">
        <v>0.24279362892511167</v>
      </c>
      <c r="F19" s="74">
        <v>8.5443414999999995E-2</v>
      </c>
      <c r="G19" s="73">
        <f t="shared" ref="G19:G82" si="0">IF($F$15="Effective",D19/(1+(1-F19)*E19),D19/(1+(1-$F$16)*E19))</f>
        <v>1.0418651445314646</v>
      </c>
      <c r="H19" s="74">
        <v>3.3988189319833662E-2</v>
      </c>
      <c r="I19" s="73">
        <f t="shared" ref="I19:I82" si="1">G19/(1-H19)</f>
        <v>1.078522159887352</v>
      </c>
    </row>
    <row r="20" spans="1:9" x14ac:dyDescent="0.25">
      <c r="A20" s="70">
        <v>3</v>
      </c>
      <c r="B20" s="71" t="s">
        <v>133</v>
      </c>
      <c r="C20" s="72">
        <v>18</v>
      </c>
      <c r="D20" s="73">
        <v>1.4353478609999999</v>
      </c>
      <c r="E20" s="74">
        <v>1.0342785265438903</v>
      </c>
      <c r="F20" s="74">
        <v>0.18471064300000001</v>
      </c>
      <c r="G20" s="73">
        <f t="shared" si="0"/>
        <v>0.80832385596313194</v>
      </c>
      <c r="H20" s="74">
        <v>4.1899102808452646E-2</v>
      </c>
      <c r="I20" s="73">
        <f t="shared" si="1"/>
        <v>0.84367299762743941</v>
      </c>
    </row>
    <row r="21" spans="1:9" x14ac:dyDescent="0.25">
      <c r="A21" s="75">
        <v>4</v>
      </c>
      <c r="B21" s="71" t="s">
        <v>134</v>
      </c>
      <c r="C21" s="72">
        <v>51</v>
      </c>
      <c r="D21" s="73">
        <v>1.055096737</v>
      </c>
      <c r="E21" s="74">
        <v>0.41768233393651771</v>
      </c>
      <c r="F21" s="74">
        <v>0.11111647600000001</v>
      </c>
      <c r="G21" s="73">
        <f t="shared" si="0"/>
        <v>0.80341694002474651</v>
      </c>
      <c r="H21" s="74">
        <v>3.1608925895437678E-2</v>
      </c>
      <c r="I21" s="73">
        <f t="shared" si="1"/>
        <v>0.82964100094338267</v>
      </c>
    </row>
    <row r="22" spans="1:9" x14ac:dyDescent="0.25">
      <c r="A22" s="70">
        <v>5</v>
      </c>
      <c r="B22" s="71" t="s">
        <v>135</v>
      </c>
      <c r="C22" s="72">
        <v>13</v>
      </c>
      <c r="D22" s="73">
        <v>1.095074098</v>
      </c>
      <c r="E22" s="74">
        <v>1.6492761052091307</v>
      </c>
      <c r="F22" s="74">
        <v>5.9326293000000002E-2</v>
      </c>
      <c r="G22" s="73">
        <f t="shared" si="0"/>
        <v>0.48953737571716788</v>
      </c>
      <c r="H22" s="74">
        <v>6.885153417619691E-2</v>
      </c>
      <c r="I22" s="73">
        <f t="shared" si="1"/>
        <v>0.52573503977592417</v>
      </c>
    </row>
    <row r="23" spans="1:9" x14ac:dyDescent="0.25">
      <c r="A23" s="75">
        <v>6</v>
      </c>
      <c r="B23" s="71" t="s">
        <v>136</v>
      </c>
      <c r="C23" s="72">
        <v>46</v>
      </c>
      <c r="D23" s="73">
        <v>1.2109700219999999</v>
      </c>
      <c r="E23" s="74">
        <v>0.50863785448768017</v>
      </c>
      <c r="F23" s="74">
        <v>7.2498900000000005E-2</v>
      </c>
      <c r="G23" s="73">
        <f t="shared" si="0"/>
        <v>0.87657543542255179</v>
      </c>
      <c r="H23" s="74">
        <v>7.4359682353797321E-2</v>
      </c>
      <c r="I23" s="73">
        <f t="shared" si="1"/>
        <v>0.94699357699930653</v>
      </c>
    </row>
    <row r="24" spans="1:9" x14ac:dyDescent="0.25">
      <c r="A24" s="70">
        <v>7</v>
      </c>
      <c r="B24" s="71" t="s">
        <v>137</v>
      </c>
      <c r="C24" s="72">
        <v>7</v>
      </c>
      <c r="D24" s="73">
        <v>1.000862659</v>
      </c>
      <c r="E24" s="74">
        <v>1.7774807857734445</v>
      </c>
      <c r="F24" s="74">
        <v>0.193558691</v>
      </c>
      <c r="G24" s="73">
        <f t="shared" si="0"/>
        <v>0.42898209093782486</v>
      </c>
      <c r="H24" s="74">
        <v>0.23333279805081775</v>
      </c>
      <c r="I24" s="73">
        <f t="shared" si="1"/>
        <v>0.55954146707616625</v>
      </c>
    </row>
    <row r="25" spans="1:9" x14ac:dyDescent="0.25">
      <c r="A25" s="75">
        <v>8</v>
      </c>
      <c r="B25" s="71" t="s">
        <v>138</v>
      </c>
      <c r="C25" s="72">
        <v>611</v>
      </c>
      <c r="D25" s="73">
        <v>0.56698275799999998</v>
      </c>
      <c r="E25" s="74">
        <v>0.62919721799881845</v>
      </c>
      <c r="F25" s="74">
        <v>0.17462836700000001</v>
      </c>
      <c r="G25" s="73">
        <f t="shared" si="0"/>
        <v>0.38520521892182252</v>
      </c>
      <c r="H25" s="74">
        <v>0.10690632348660729</v>
      </c>
      <c r="I25" s="73">
        <f t="shared" si="1"/>
        <v>0.43131558206262371</v>
      </c>
    </row>
    <row r="26" spans="1:9" x14ac:dyDescent="0.25">
      <c r="A26" s="70">
        <v>9</v>
      </c>
      <c r="B26" s="71" t="s">
        <v>139</v>
      </c>
      <c r="C26" s="72">
        <v>21</v>
      </c>
      <c r="D26" s="73">
        <v>1.126335082</v>
      </c>
      <c r="E26" s="74">
        <v>0.31279539425967018</v>
      </c>
      <c r="F26" s="74">
        <v>6.6164509999999996E-2</v>
      </c>
      <c r="G26" s="73">
        <f t="shared" si="0"/>
        <v>0.91231024898597135</v>
      </c>
      <c r="H26" s="74">
        <v>7.1525014100237072E-3</v>
      </c>
      <c r="I26" s="73">
        <f t="shared" si="1"/>
        <v>0.91888255777611116</v>
      </c>
    </row>
    <row r="27" spans="1:9" x14ac:dyDescent="0.25">
      <c r="A27" s="75">
        <v>10</v>
      </c>
      <c r="B27" s="71" t="s">
        <v>140</v>
      </c>
      <c r="C27" s="72">
        <v>34</v>
      </c>
      <c r="D27" s="73">
        <v>1.2188969089999999</v>
      </c>
      <c r="E27" s="74">
        <v>0.1923833294576949</v>
      </c>
      <c r="F27" s="74">
        <v>4.0047920000000001E-2</v>
      </c>
      <c r="G27" s="73">
        <f t="shared" si="0"/>
        <v>1.0652016316670871</v>
      </c>
      <c r="H27" s="74">
        <v>2.338979790404435E-2</v>
      </c>
      <c r="I27" s="73">
        <f t="shared" si="1"/>
        <v>1.0907131928183842</v>
      </c>
    </row>
    <row r="28" spans="1:9" x14ac:dyDescent="0.25">
      <c r="A28" s="70">
        <v>11</v>
      </c>
      <c r="B28" s="71" t="s">
        <v>141</v>
      </c>
      <c r="C28" s="72">
        <v>27</v>
      </c>
      <c r="D28" s="73">
        <v>1.213678059</v>
      </c>
      <c r="E28" s="74">
        <v>0.98452115136008556</v>
      </c>
      <c r="F28" s="74">
        <v>0.13307208100000001</v>
      </c>
      <c r="G28" s="73">
        <f t="shared" si="0"/>
        <v>0.69816177964858017</v>
      </c>
      <c r="H28" s="74">
        <v>4.3531967353815586E-2</v>
      </c>
      <c r="I28" s="73">
        <f t="shared" si="1"/>
        <v>0.72993739029315097</v>
      </c>
    </row>
    <row r="29" spans="1:9" x14ac:dyDescent="0.25">
      <c r="A29" s="75">
        <v>12</v>
      </c>
      <c r="B29" s="71" t="s">
        <v>142</v>
      </c>
      <c r="C29" s="72">
        <v>39</v>
      </c>
      <c r="D29" s="73">
        <v>1.460916203</v>
      </c>
      <c r="E29" s="74">
        <v>2.6838752918628042</v>
      </c>
      <c r="F29" s="74">
        <v>0.12827924800000001</v>
      </c>
      <c r="G29" s="73">
        <f t="shared" si="0"/>
        <v>0.48488601225473132</v>
      </c>
      <c r="H29" s="74">
        <v>0.145837689209806</v>
      </c>
      <c r="I29" s="73">
        <f t="shared" si="1"/>
        <v>0.56767432387195649</v>
      </c>
    </row>
    <row r="30" spans="1:9" x14ac:dyDescent="0.25">
      <c r="A30" s="70">
        <v>13</v>
      </c>
      <c r="B30" s="71" t="s">
        <v>143</v>
      </c>
      <c r="C30" s="72">
        <v>42</v>
      </c>
      <c r="D30" s="73">
        <v>1.2316485930000001</v>
      </c>
      <c r="E30" s="74">
        <v>0.32074077926033157</v>
      </c>
      <c r="F30" s="74">
        <v>0.16263942000000001</v>
      </c>
      <c r="G30" s="73">
        <f t="shared" si="0"/>
        <v>0.99282015932463707</v>
      </c>
      <c r="H30" s="74">
        <v>2.524333322082891E-2</v>
      </c>
      <c r="I30" s="73">
        <f t="shared" si="1"/>
        <v>1.0185312839204805</v>
      </c>
    </row>
    <row r="31" spans="1:9" x14ac:dyDescent="0.25">
      <c r="A31" s="75">
        <v>14</v>
      </c>
      <c r="B31" s="71" t="s">
        <v>144</v>
      </c>
      <c r="C31" s="72">
        <v>165</v>
      </c>
      <c r="D31" s="73">
        <v>1.065922206</v>
      </c>
      <c r="E31" s="74">
        <v>0.30305348477375454</v>
      </c>
      <c r="F31" s="74">
        <v>8.3169501000000007E-2</v>
      </c>
      <c r="G31" s="73">
        <f t="shared" si="0"/>
        <v>0.86851690093912282</v>
      </c>
      <c r="H31" s="74">
        <v>2.9467103116509973E-2</v>
      </c>
      <c r="I31" s="73">
        <f t="shared" si="1"/>
        <v>0.89488661716469986</v>
      </c>
    </row>
    <row r="32" spans="1:9" x14ac:dyDescent="0.25">
      <c r="A32" s="70">
        <v>15</v>
      </c>
      <c r="B32" s="71" t="s">
        <v>145</v>
      </c>
      <c r="C32" s="72">
        <v>14</v>
      </c>
      <c r="D32" s="73">
        <v>1.1145650039999999</v>
      </c>
      <c r="E32" s="74">
        <v>0.60171917179526391</v>
      </c>
      <c r="F32" s="74">
        <v>0.14548892199999999</v>
      </c>
      <c r="G32" s="73">
        <f t="shared" si="0"/>
        <v>0.76798260928906392</v>
      </c>
      <c r="H32" s="74">
        <v>1.1106847904356249E-2</v>
      </c>
      <c r="I32" s="73">
        <f t="shared" si="1"/>
        <v>0.77660827932883303</v>
      </c>
    </row>
    <row r="33" spans="1:9" x14ac:dyDescent="0.25">
      <c r="A33" s="75">
        <v>16</v>
      </c>
      <c r="B33" s="71" t="s">
        <v>146</v>
      </c>
      <c r="C33" s="72">
        <v>43</v>
      </c>
      <c r="D33" s="73">
        <v>1.3668277090000001</v>
      </c>
      <c r="E33" s="74">
        <v>0.61086566400734899</v>
      </c>
      <c r="F33" s="74">
        <v>6.6647070000000003E-2</v>
      </c>
      <c r="G33" s="73">
        <f t="shared" si="0"/>
        <v>0.93737161053271922</v>
      </c>
      <c r="H33" s="74">
        <v>5.5979285767475288E-2</v>
      </c>
      <c r="I33" s="73">
        <f t="shared" si="1"/>
        <v>0.99295661249847555</v>
      </c>
    </row>
    <row r="34" spans="1:9" x14ac:dyDescent="0.25">
      <c r="A34" s="70">
        <v>17</v>
      </c>
      <c r="B34" s="71" t="s">
        <v>147</v>
      </c>
      <c r="C34" s="72">
        <v>6</v>
      </c>
      <c r="D34" s="73">
        <v>1.8528643010000001</v>
      </c>
      <c r="E34" s="74">
        <v>0.78660235560998026</v>
      </c>
      <c r="F34" s="74">
        <v>0.11893261099999999</v>
      </c>
      <c r="G34" s="73">
        <f t="shared" si="0"/>
        <v>1.1653588113788893</v>
      </c>
      <c r="H34" s="74">
        <v>4.0633122217121891E-2</v>
      </c>
      <c r="I34" s="73">
        <f t="shared" si="1"/>
        <v>1.2147165368811397</v>
      </c>
    </row>
    <row r="35" spans="1:9" x14ac:dyDescent="0.25">
      <c r="A35" s="75">
        <v>18</v>
      </c>
      <c r="B35" s="71" t="s">
        <v>148</v>
      </c>
      <c r="C35" s="72">
        <v>94</v>
      </c>
      <c r="D35" s="73">
        <v>1.1351903860000001</v>
      </c>
      <c r="E35" s="74">
        <v>0.28526388510536249</v>
      </c>
      <c r="F35" s="74">
        <v>0.110084529</v>
      </c>
      <c r="G35" s="73">
        <f t="shared" si="0"/>
        <v>0.93512281133989872</v>
      </c>
      <c r="H35" s="74">
        <v>3.0817292133716281E-2</v>
      </c>
      <c r="I35" s="73">
        <f t="shared" si="1"/>
        <v>0.96485709428166544</v>
      </c>
    </row>
    <row r="36" spans="1:9" x14ac:dyDescent="0.25">
      <c r="A36" s="70">
        <v>19</v>
      </c>
      <c r="B36" s="71" t="s">
        <v>149</v>
      </c>
      <c r="C36" s="72">
        <v>22</v>
      </c>
      <c r="D36" s="73">
        <v>1.3959042749999999</v>
      </c>
      <c r="E36" s="74">
        <v>0.79691125056019507</v>
      </c>
      <c r="F36" s="74">
        <v>9.6783930000000004E-3</v>
      </c>
      <c r="G36" s="73">
        <f t="shared" si="0"/>
        <v>0.87370516703683099</v>
      </c>
      <c r="H36" s="74">
        <v>0.16684003289212912</v>
      </c>
      <c r="I36" s="73">
        <f t="shared" si="1"/>
        <v>1.0486643640232785</v>
      </c>
    </row>
    <row r="37" spans="1:9" x14ac:dyDescent="0.25">
      <c r="A37" s="75">
        <v>20</v>
      </c>
      <c r="B37" s="71" t="s">
        <v>150</v>
      </c>
      <c r="C37" s="72">
        <v>106</v>
      </c>
      <c r="D37" s="73">
        <v>1.2030223950000001</v>
      </c>
      <c r="E37" s="74">
        <v>0.44645141396955212</v>
      </c>
      <c r="F37" s="74">
        <v>8.9215305999999994E-2</v>
      </c>
      <c r="G37" s="73">
        <f t="shared" si="0"/>
        <v>0.901249357502795</v>
      </c>
      <c r="H37" s="74">
        <v>5.4170148574305015E-2</v>
      </c>
      <c r="I37" s="73">
        <f t="shared" si="1"/>
        <v>0.95286626462920188</v>
      </c>
    </row>
    <row r="38" spans="1:9" x14ac:dyDescent="0.25">
      <c r="A38" s="70">
        <v>21</v>
      </c>
      <c r="B38" s="71" t="s">
        <v>151</v>
      </c>
      <c r="C38" s="72">
        <v>48</v>
      </c>
      <c r="D38" s="73">
        <v>1.748007023</v>
      </c>
      <c r="E38" s="74">
        <v>0.15490864983832148</v>
      </c>
      <c r="F38" s="74">
        <v>6.2123291999999997E-2</v>
      </c>
      <c r="G38" s="73">
        <f t="shared" si="0"/>
        <v>1.5660598592304631</v>
      </c>
      <c r="H38" s="74">
        <v>4.5133974740081358E-2</v>
      </c>
      <c r="I38" s="73">
        <f t="shared" si="1"/>
        <v>1.6400833392351297</v>
      </c>
    </row>
    <row r="39" spans="1:9" x14ac:dyDescent="0.25">
      <c r="A39" s="75">
        <v>22</v>
      </c>
      <c r="B39" s="71" t="s">
        <v>152</v>
      </c>
      <c r="C39" s="72">
        <v>44</v>
      </c>
      <c r="D39" s="73">
        <v>1.363622994</v>
      </c>
      <c r="E39" s="74">
        <v>0.4013740580769638</v>
      </c>
      <c r="F39" s="74">
        <v>0.15817335699999999</v>
      </c>
      <c r="G39" s="73">
        <f t="shared" si="0"/>
        <v>1.0481099008414634</v>
      </c>
      <c r="H39" s="74">
        <v>5.0278017826117252E-2</v>
      </c>
      <c r="I39" s="73">
        <f t="shared" si="1"/>
        <v>1.10359654774166</v>
      </c>
    </row>
    <row r="40" spans="1:9" x14ac:dyDescent="0.25">
      <c r="A40" s="70">
        <v>23</v>
      </c>
      <c r="B40" s="71" t="s">
        <v>153</v>
      </c>
      <c r="C40" s="72">
        <v>23</v>
      </c>
      <c r="D40" s="73">
        <v>1.4018521020000001</v>
      </c>
      <c r="E40" s="74">
        <v>0.31159422476904108</v>
      </c>
      <c r="F40" s="74">
        <v>6.6835280999999996E-2</v>
      </c>
      <c r="G40" s="73">
        <f t="shared" si="0"/>
        <v>1.1363030103017289</v>
      </c>
      <c r="H40" s="74">
        <v>8.9852913690663769E-2</v>
      </c>
      <c r="I40" s="73">
        <f t="shared" si="1"/>
        <v>1.2484828302966493</v>
      </c>
    </row>
    <row r="41" spans="1:9" x14ac:dyDescent="0.25">
      <c r="A41" s="75">
        <v>24</v>
      </c>
      <c r="B41" s="71" t="s">
        <v>154</v>
      </c>
      <c r="C41" s="72">
        <v>503</v>
      </c>
      <c r="D41" s="73">
        <v>1.4334516639999999</v>
      </c>
      <c r="E41" s="74">
        <v>0.14582369730647177</v>
      </c>
      <c r="F41" s="74">
        <v>6.0965699999999999E-3</v>
      </c>
      <c r="G41" s="73">
        <f t="shared" si="0"/>
        <v>1.292133861207839</v>
      </c>
      <c r="H41" s="74">
        <v>6.985398019781601E-2</v>
      </c>
      <c r="I41" s="73">
        <f t="shared" si="1"/>
        <v>1.3891731337867141</v>
      </c>
    </row>
    <row r="42" spans="1:9" x14ac:dyDescent="0.25">
      <c r="A42" s="70">
        <v>25</v>
      </c>
      <c r="B42" s="71" t="s">
        <v>155</v>
      </c>
      <c r="C42" s="72">
        <v>267</v>
      </c>
      <c r="D42" s="73">
        <v>1.3615909020000001</v>
      </c>
      <c r="E42" s="74">
        <v>0.14930581290677752</v>
      </c>
      <c r="F42" s="74">
        <v>1.3589926E-2</v>
      </c>
      <c r="G42" s="73">
        <f t="shared" si="0"/>
        <v>1.2244749780173352</v>
      </c>
      <c r="H42" s="74">
        <v>4.7588534995774368E-2</v>
      </c>
      <c r="I42" s="73">
        <f t="shared" si="1"/>
        <v>1.2856575366949226</v>
      </c>
    </row>
    <row r="43" spans="1:9" x14ac:dyDescent="0.25">
      <c r="A43" s="75">
        <v>26</v>
      </c>
      <c r="B43" s="71" t="s">
        <v>156</v>
      </c>
      <c r="C43" s="72">
        <v>35</v>
      </c>
      <c r="D43" s="73">
        <v>1.6056034619999999</v>
      </c>
      <c r="E43" s="74">
        <v>0.33679805016449205</v>
      </c>
      <c r="F43" s="74">
        <v>6.5591273000000005E-2</v>
      </c>
      <c r="G43" s="73">
        <f t="shared" si="0"/>
        <v>1.2818180875784899</v>
      </c>
      <c r="H43" s="74">
        <v>5.4716644048869417E-2</v>
      </c>
      <c r="I43" s="73">
        <f t="shared" si="1"/>
        <v>1.3560146590000444</v>
      </c>
    </row>
    <row r="44" spans="1:9" x14ac:dyDescent="0.25">
      <c r="A44" s="70">
        <v>27</v>
      </c>
      <c r="B44" s="71" t="s">
        <v>157</v>
      </c>
      <c r="C44" s="72">
        <v>113</v>
      </c>
      <c r="D44" s="73">
        <v>1.444743618</v>
      </c>
      <c r="E44" s="74">
        <v>0.20995941271748184</v>
      </c>
      <c r="F44" s="74">
        <v>3.9412746999999998E-2</v>
      </c>
      <c r="G44" s="73">
        <f t="shared" si="0"/>
        <v>1.2481914587684928</v>
      </c>
      <c r="H44" s="74">
        <v>4.5081898947413171E-2</v>
      </c>
      <c r="I44" s="73">
        <f t="shared" si="1"/>
        <v>1.307118859086069</v>
      </c>
    </row>
    <row r="45" spans="1:9" x14ac:dyDescent="0.25">
      <c r="A45" s="75">
        <v>28</v>
      </c>
      <c r="B45" s="71" t="s">
        <v>158</v>
      </c>
      <c r="C45" s="72">
        <v>20</v>
      </c>
      <c r="D45" s="73">
        <v>1.2754168990000001</v>
      </c>
      <c r="E45" s="74">
        <v>0.20667707794153262</v>
      </c>
      <c r="F45" s="74">
        <v>5.4515738000000001E-2</v>
      </c>
      <c r="G45" s="73">
        <f t="shared" si="0"/>
        <v>1.1042495900567082</v>
      </c>
      <c r="H45" s="74">
        <v>0.11716135960262057</v>
      </c>
      <c r="I45" s="73">
        <f t="shared" si="1"/>
        <v>1.2507943575732801</v>
      </c>
    </row>
    <row r="46" spans="1:9" x14ac:dyDescent="0.25">
      <c r="A46" s="70">
        <v>29</v>
      </c>
      <c r="B46" s="71" t="s">
        <v>159</v>
      </c>
      <c r="C46" s="72">
        <v>153</v>
      </c>
      <c r="D46" s="73">
        <v>1.1509581369999999</v>
      </c>
      <c r="E46" s="74">
        <v>0.1823772120848963</v>
      </c>
      <c r="F46" s="74">
        <v>6.6475008000000002E-2</v>
      </c>
      <c r="G46" s="73">
        <f t="shared" si="0"/>
        <v>1.0124695998007247</v>
      </c>
      <c r="H46" s="74">
        <v>5.4580964037110428E-2</v>
      </c>
      <c r="I46" s="73">
        <f t="shared" si="1"/>
        <v>1.070921529276746</v>
      </c>
    </row>
    <row r="47" spans="1:9" x14ac:dyDescent="0.25">
      <c r="A47" s="75">
        <v>30</v>
      </c>
      <c r="B47" s="71" t="s">
        <v>160</v>
      </c>
      <c r="C47" s="72">
        <v>54</v>
      </c>
      <c r="D47" s="73">
        <v>1.5972992109999999</v>
      </c>
      <c r="E47" s="74">
        <v>0.39271549390339217</v>
      </c>
      <c r="F47" s="74">
        <v>9.4414994000000002E-2</v>
      </c>
      <c r="G47" s="73">
        <f t="shared" si="0"/>
        <v>1.2338771926532777</v>
      </c>
      <c r="H47" s="74">
        <v>6.8798549493350875E-2</v>
      </c>
      <c r="I47" s="73">
        <f t="shared" si="1"/>
        <v>1.3250378765861548</v>
      </c>
    </row>
    <row r="48" spans="1:9" x14ac:dyDescent="0.25">
      <c r="A48" s="70">
        <v>31</v>
      </c>
      <c r="B48" s="71" t="s">
        <v>161</v>
      </c>
      <c r="C48" s="72">
        <v>107</v>
      </c>
      <c r="D48" s="73">
        <v>1.3331870219999999</v>
      </c>
      <c r="E48" s="74">
        <v>0.20065811120017565</v>
      </c>
      <c r="F48" s="74">
        <v>1.9337215000000001E-2</v>
      </c>
      <c r="G48" s="73">
        <f t="shared" si="0"/>
        <v>1.1587957040663728</v>
      </c>
      <c r="H48" s="74">
        <v>3.5705438075325988E-2</v>
      </c>
      <c r="I48" s="73">
        <f t="shared" si="1"/>
        <v>1.2017030374551592</v>
      </c>
    </row>
    <row r="49" spans="1:9" x14ac:dyDescent="0.25">
      <c r="A49" s="75">
        <v>32</v>
      </c>
      <c r="B49" s="71" t="s">
        <v>162</v>
      </c>
      <c r="C49" s="72">
        <v>82</v>
      </c>
      <c r="D49" s="73">
        <v>1.2685057959999999</v>
      </c>
      <c r="E49" s="74">
        <v>0.31687381793497077</v>
      </c>
      <c r="F49" s="74">
        <v>4.1371107999999997E-2</v>
      </c>
      <c r="G49" s="73">
        <f t="shared" si="0"/>
        <v>1.0249265130340848</v>
      </c>
      <c r="H49" s="74">
        <v>2.2492503227944584E-2</v>
      </c>
      <c r="I49" s="73">
        <f t="shared" si="1"/>
        <v>1.0485101305295534</v>
      </c>
    </row>
    <row r="50" spans="1:9" x14ac:dyDescent="0.25">
      <c r="A50" s="70">
        <v>33</v>
      </c>
      <c r="B50" s="71" t="s">
        <v>163</v>
      </c>
      <c r="C50" s="72">
        <v>31</v>
      </c>
      <c r="D50" s="73">
        <v>0.89362508299999999</v>
      </c>
      <c r="E50" s="74">
        <v>0.62389379695565883</v>
      </c>
      <c r="F50" s="74">
        <v>5.9148997000000002E-2</v>
      </c>
      <c r="G50" s="73">
        <f t="shared" si="0"/>
        <v>0.60876946381319419</v>
      </c>
      <c r="H50" s="74">
        <v>2.9773926325140265E-2</v>
      </c>
      <c r="I50" s="73">
        <f t="shared" si="1"/>
        <v>0.62745114806840763</v>
      </c>
    </row>
    <row r="51" spans="1:9" x14ac:dyDescent="0.25">
      <c r="A51" s="75">
        <v>34</v>
      </c>
      <c r="B51" s="71" t="s">
        <v>164</v>
      </c>
      <c r="C51" s="72">
        <v>232</v>
      </c>
      <c r="D51" s="73">
        <v>0.732438335</v>
      </c>
      <c r="E51" s="74">
        <v>8.8221364219655136</v>
      </c>
      <c r="F51" s="74">
        <v>0.14417444400000001</v>
      </c>
      <c r="G51" s="73">
        <f t="shared" si="0"/>
        <v>9.6163394722052278E-2</v>
      </c>
      <c r="H51" s="74">
        <v>2.1368573992165019E-2</v>
      </c>
      <c r="I51" s="73">
        <f t="shared" si="1"/>
        <v>9.826313785398752E-2</v>
      </c>
    </row>
    <row r="52" spans="1:9" x14ac:dyDescent="0.25">
      <c r="A52" s="70">
        <v>35</v>
      </c>
      <c r="B52" s="71" t="s">
        <v>165</v>
      </c>
      <c r="C52" s="72">
        <v>88</v>
      </c>
      <c r="D52" s="73">
        <v>0.87532183900000005</v>
      </c>
      <c r="E52" s="74">
        <v>0.37377326276066641</v>
      </c>
      <c r="F52" s="74">
        <v>6.4442920000000001E-2</v>
      </c>
      <c r="G52" s="73">
        <f t="shared" si="0"/>
        <v>0.68366895658639271</v>
      </c>
      <c r="H52" s="74">
        <v>1.8856394718605229E-2</v>
      </c>
      <c r="I52" s="73">
        <f t="shared" si="1"/>
        <v>0.69680824795297369</v>
      </c>
    </row>
    <row r="53" spans="1:9" x14ac:dyDescent="0.25">
      <c r="A53" s="75">
        <v>36</v>
      </c>
      <c r="B53" s="71" t="s">
        <v>166</v>
      </c>
      <c r="C53" s="72">
        <v>17</v>
      </c>
      <c r="D53" s="73">
        <v>0.86802289899999996</v>
      </c>
      <c r="E53" s="74">
        <v>0.43953703976673969</v>
      </c>
      <c r="F53" s="74">
        <v>7.7881901000000003E-2</v>
      </c>
      <c r="G53" s="73">
        <f t="shared" si="0"/>
        <v>0.65281922632027856</v>
      </c>
      <c r="H53" s="74">
        <v>7.5208290908834489E-3</v>
      </c>
      <c r="I53" s="73">
        <f t="shared" si="1"/>
        <v>0.65776617329136733</v>
      </c>
    </row>
    <row r="54" spans="1:9" x14ac:dyDescent="0.25">
      <c r="A54" s="70">
        <v>37</v>
      </c>
      <c r="B54" s="71" t="s">
        <v>167</v>
      </c>
      <c r="C54" s="72">
        <v>35</v>
      </c>
      <c r="D54" s="73">
        <v>1.076595269</v>
      </c>
      <c r="E54" s="74">
        <v>0.48351511852799572</v>
      </c>
      <c r="F54" s="74">
        <v>8.1494560999999993E-2</v>
      </c>
      <c r="G54" s="73">
        <f t="shared" si="0"/>
        <v>0.79008260551179321</v>
      </c>
      <c r="H54" s="74">
        <v>3.4515168275545939E-2</v>
      </c>
      <c r="I54" s="73">
        <f t="shared" si="1"/>
        <v>0.81832731033239059</v>
      </c>
    </row>
    <row r="55" spans="1:9" x14ac:dyDescent="0.25">
      <c r="A55" s="75">
        <v>38</v>
      </c>
      <c r="B55" s="71" t="s">
        <v>168</v>
      </c>
      <c r="C55" s="72">
        <v>22</v>
      </c>
      <c r="D55" s="73">
        <v>1.0723318509999999</v>
      </c>
      <c r="E55" s="74">
        <v>1.1263522800436128</v>
      </c>
      <c r="F55" s="74">
        <v>1.5200708E-2</v>
      </c>
      <c r="G55" s="73">
        <f t="shared" si="0"/>
        <v>0.58128396310387354</v>
      </c>
      <c r="H55" s="74">
        <v>2.1033273532555442E-2</v>
      </c>
      <c r="I55" s="73">
        <f t="shared" si="1"/>
        <v>0.59377295201994196</v>
      </c>
    </row>
    <row r="56" spans="1:9" x14ac:dyDescent="0.25">
      <c r="A56" s="70">
        <v>39</v>
      </c>
      <c r="B56" s="71" t="s">
        <v>169</v>
      </c>
      <c r="C56" s="72">
        <v>242</v>
      </c>
      <c r="D56" s="73">
        <v>1.0429687110000001</v>
      </c>
      <c r="E56" s="74">
        <v>0.13246485086547954</v>
      </c>
      <c r="F56" s="74">
        <v>3.5179033999999998E-2</v>
      </c>
      <c r="G56" s="73">
        <f t="shared" si="0"/>
        <v>0.94871515259796735</v>
      </c>
      <c r="H56" s="74">
        <v>3.3716542386654565E-2</v>
      </c>
      <c r="I56" s="73">
        <f t="shared" si="1"/>
        <v>0.98181868386863347</v>
      </c>
    </row>
    <row r="57" spans="1:9" x14ac:dyDescent="0.25">
      <c r="A57" s="75">
        <v>40</v>
      </c>
      <c r="B57" s="71" t="s">
        <v>170</v>
      </c>
      <c r="C57" s="72">
        <v>128</v>
      </c>
      <c r="D57" s="73">
        <v>1.170318746</v>
      </c>
      <c r="E57" s="74">
        <v>0.39906274558464971</v>
      </c>
      <c r="F57" s="74">
        <v>8.2630010000000004E-2</v>
      </c>
      <c r="G57" s="73">
        <f t="shared" si="0"/>
        <v>0.90073223649944667</v>
      </c>
      <c r="H57" s="74">
        <v>4.8091461248442817E-2</v>
      </c>
      <c r="I57" s="73">
        <f t="shared" si="1"/>
        <v>0.94623821494528337</v>
      </c>
    </row>
    <row r="58" spans="1:9" x14ac:dyDescent="0.25">
      <c r="A58" s="70">
        <v>41</v>
      </c>
      <c r="B58" s="71" t="s">
        <v>171</v>
      </c>
      <c r="C58" s="72">
        <v>129</v>
      </c>
      <c r="D58" s="73">
        <v>1.2449195799999999</v>
      </c>
      <c r="E58" s="74">
        <v>0.1466681354351527</v>
      </c>
      <c r="F58" s="74">
        <v>3.8353670999999999E-2</v>
      </c>
      <c r="G58" s="73">
        <f t="shared" si="0"/>
        <v>1.1215480581343851</v>
      </c>
      <c r="H58" s="74">
        <v>2.7022959325748871E-2</v>
      </c>
      <c r="I58" s="73">
        <f t="shared" si="1"/>
        <v>1.152697351786613</v>
      </c>
    </row>
    <row r="59" spans="1:9" x14ac:dyDescent="0.25">
      <c r="A59" s="75">
        <v>42</v>
      </c>
      <c r="B59" s="71" t="s">
        <v>172</v>
      </c>
      <c r="C59" s="72">
        <v>32</v>
      </c>
      <c r="D59" s="73">
        <v>0.82768248799999999</v>
      </c>
      <c r="E59" s="74">
        <v>0.44202823176540651</v>
      </c>
      <c r="F59" s="74">
        <v>0.170167344</v>
      </c>
      <c r="G59" s="73">
        <f t="shared" si="0"/>
        <v>0.62160670387459316</v>
      </c>
      <c r="H59" s="74">
        <v>6.3924044660464308E-2</v>
      </c>
      <c r="I59" s="73">
        <f t="shared" si="1"/>
        <v>0.66405583898276987</v>
      </c>
    </row>
    <row r="60" spans="1:9" x14ac:dyDescent="0.25">
      <c r="A60" s="70">
        <v>43</v>
      </c>
      <c r="B60" s="71" t="s">
        <v>173</v>
      </c>
      <c r="C60" s="72">
        <v>36</v>
      </c>
      <c r="D60" s="73">
        <v>1.2217365659999999</v>
      </c>
      <c r="E60" s="74">
        <v>1.3018089033748177</v>
      </c>
      <c r="F60" s="74">
        <v>7.4975072000000004E-2</v>
      </c>
      <c r="G60" s="73">
        <f t="shared" si="0"/>
        <v>0.61817615205277965</v>
      </c>
      <c r="H60" s="74">
        <v>1.1807355793748069E-2</v>
      </c>
      <c r="I60" s="73">
        <f t="shared" si="1"/>
        <v>0.62556238975986156</v>
      </c>
    </row>
    <row r="61" spans="1:9" x14ac:dyDescent="0.25">
      <c r="A61" s="75">
        <v>44</v>
      </c>
      <c r="B61" s="71" t="s">
        <v>174</v>
      </c>
      <c r="C61" s="72">
        <v>65</v>
      </c>
      <c r="D61" s="73">
        <v>1.2616103949999999</v>
      </c>
      <c r="E61" s="74">
        <v>0.56410072131938649</v>
      </c>
      <c r="F61" s="74">
        <v>0.12518879699999999</v>
      </c>
      <c r="G61" s="73">
        <f t="shared" si="0"/>
        <v>0.88653789532686034</v>
      </c>
      <c r="H61" s="74">
        <v>3.0517679905529636E-2</v>
      </c>
      <c r="I61" s="73">
        <f t="shared" si="1"/>
        <v>0.91444462364251522</v>
      </c>
    </row>
    <row r="62" spans="1:9" x14ac:dyDescent="0.25">
      <c r="A62" s="70">
        <v>45</v>
      </c>
      <c r="B62" s="71" t="s">
        <v>175</v>
      </c>
      <c r="C62" s="72">
        <v>127</v>
      </c>
      <c r="D62" s="73">
        <v>1.0300080739999999</v>
      </c>
      <c r="E62" s="74">
        <v>0.17172697592588718</v>
      </c>
      <c r="F62" s="74">
        <v>5.9312673000000003E-2</v>
      </c>
      <c r="G62" s="73">
        <f t="shared" si="0"/>
        <v>0.91248443017052006</v>
      </c>
      <c r="H62" s="74">
        <v>2.6223386947001409E-2</v>
      </c>
      <c r="I62" s="73">
        <f t="shared" si="1"/>
        <v>0.93705724489488984</v>
      </c>
    </row>
    <row r="63" spans="1:9" x14ac:dyDescent="0.25">
      <c r="A63" s="75">
        <v>46</v>
      </c>
      <c r="B63" s="71" t="s">
        <v>176</v>
      </c>
      <c r="C63" s="72">
        <v>69</v>
      </c>
      <c r="D63" s="73">
        <v>1.093128707</v>
      </c>
      <c r="E63" s="74">
        <v>0.11886624777168864</v>
      </c>
      <c r="F63" s="74">
        <v>8.3368273000000007E-2</v>
      </c>
      <c r="G63" s="73">
        <f t="shared" si="0"/>
        <v>1.003653328117343</v>
      </c>
      <c r="H63" s="74">
        <v>2.7011284108999865E-2</v>
      </c>
      <c r="I63" s="73">
        <f t="shared" si="1"/>
        <v>1.0315158970762186</v>
      </c>
    </row>
    <row r="64" spans="1:9" x14ac:dyDescent="0.25">
      <c r="A64" s="70">
        <v>47</v>
      </c>
      <c r="B64" s="71" t="s">
        <v>177</v>
      </c>
      <c r="C64" s="72">
        <v>19</v>
      </c>
      <c r="D64" s="73">
        <v>0.74262552999999998</v>
      </c>
      <c r="E64" s="74">
        <v>0.4141390803519886</v>
      </c>
      <c r="F64" s="74">
        <v>0.16098088899999999</v>
      </c>
      <c r="G64" s="73">
        <f t="shared" si="0"/>
        <v>0.56662832876721958</v>
      </c>
      <c r="H64" s="74">
        <v>4.3986817360134114E-2</v>
      </c>
      <c r="I64" s="73">
        <f t="shared" si="1"/>
        <v>0.59269928391842142</v>
      </c>
    </row>
    <row r="65" spans="1:9" x14ac:dyDescent="0.25">
      <c r="A65" s="75">
        <v>48</v>
      </c>
      <c r="B65" s="71" t="s">
        <v>178</v>
      </c>
      <c r="C65" s="72">
        <v>24</v>
      </c>
      <c r="D65" s="73">
        <v>1.0761501120000001</v>
      </c>
      <c r="E65" s="74">
        <v>0.97499562970313036</v>
      </c>
      <c r="F65" s="74">
        <v>0.147770448</v>
      </c>
      <c r="G65" s="73">
        <f t="shared" si="0"/>
        <v>0.62160412964386225</v>
      </c>
      <c r="H65" s="74">
        <v>0.15137117435158079</v>
      </c>
      <c r="I65" s="73">
        <f t="shared" si="1"/>
        <v>0.73248057437703429</v>
      </c>
    </row>
    <row r="66" spans="1:9" x14ac:dyDescent="0.25">
      <c r="A66" s="70">
        <v>49</v>
      </c>
      <c r="B66" s="71" t="s">
        <v>179</v>
      </c>
      <c r="C66" s="72">
        <v>51</v>
      </c>
      <c r="D66" s="73">
        <v>0.67828556100000004</v>
      </c>
      <c r="E66" s="74">
        <v>0.26359147645094072</v>
      </c>
      <c r="F66" s="74">
        <v>0.14033321100000001</v>
      </c>
      <c r="G66" s="73">
        <f t="shared" si="0"/>
        <v>0.56632644346114913</v>
      </c>
      <c r="H66" s="74">
        <v>3.8611748033582222E-2</v>
      </c>
      <c r="I66" s="73">
        <f t="shared" si="1"/>
        <v>0.58907152474849622</v>
      </c>
    </row>
    <row r="67" spans="1:9" x14ac:dyDescent="0.25">
      <c r="A67" s="75">
        <v>50</v>
      </c>
      <c r="B67" s="71" t="s">
        <v>180</v>
      </c>
      <c r="C67" s="72">
        <v>192</v>
      </c>
      <c r="D67" s="73">
        <v>1.027293808</v>
      </c>
      <c r="E67" s="74">
        <v>0.54405192168290151</v>
      </c>
      <c r="F67" s="74">
        <v>7.4740315000000002E-2</v>
      </c>
      <c r="G67" s="73">
        <f t="shared" si="0"/>
        <v>0.72959190111540995</v>
      </c>
      <c r="H67" s="74">
        <v>0.15181765193878138</v>
      </c>
      <c r="I67" s="73">
        <f t="shared" si="1"/>
        <v>0.86018284014412283</v>
      </c>
    </row>
    <row r="68" spans="1:9" x14ac:dyDescent="0.25">
      <c r="A68" s="70">
        <v>51</v>
      </c>
      <c r="B68" s="71" t="s">
        <v>181</v>
      </c>
      <c r="C68" s="72">
        <v>120</v>
      </c>
      <c r="D68" s="73">
        <v>1.247017093</v>
      </c>
      <c r="E68" s="74">
        <v>0.23859350044337482</v>
      </c>
      <c r="F68" s="74">
        <v>0.123234383</v>
      </c>
      <c r="G68" s="73">
        <f t="shared" si="0"/>
        <v>1.0577397252889684</v>
      </c>
      <c r="H68" s="74">
        <v>3.7123854756441657E-2</v>
      </c>
      <c r="I68" s="73">
        <f t="shared" si="1"/>
        <v>1.0985210616277283</v>
      </c>
    </row>
    <row r="69" spans="1:9" x14ac:dyDescent="0.25">
      <c r="A69" s="75">
        <v>52</v>
      </c>
      <c r="B69" s="71" t="s">
        <v>182</v>
      </c>
      <c r="C69" s="72">
        <v>92</v>
      </c>
      <c r="D69" s="73">
        <v>1.310283238</v>
      </c>
      <c r="E69" s="74">
        <v>0.38209651543088957</v>
      </c>
      <c r="F69" s="74">
        <v>1.9590181000000002E-2</v>
      </c>
      <c r="G69" s="73">
        <f t="shared" si="0"/>
        <v>1.0184294732844279</v>
      </c>
      <c r="H69" s="74">
        <v>6.2713484801824732E-2</v>
      </c>
      <c r="I69" s="73">
        <f t="shared" si="1"/>
        <v>1.0865722025981523</v>
      </c>
    </row>
    <row r="70" spans="1:9" x14ac:dyDescent="0.25">
      <c r="A70" s="70">
        <v>53</v>
      </c>
      <c r="B70" s="71" t="s">
        <v>183</v>
      </c>
      <c r="C70" s="72">
        <v>22</v>
      </c>
      <c r="D70" s="73">
        <v>1.6452790129999999</v>
      </c>
      <c r="E70" s="74">
        <v>0.54881060202147713</v>
      </c>
      <c r="F70" s="74">
        <v>0.152902867</v>
      </c>
      <c r="G70" s="73">
        <f t="shared" si="0"/>
        <v>1.1655353819967667</v>
      </c>
      <c r="H70" s="74">
        <v>6.3249625484823727E-2</v>
      </c>
      <c r="I70" s="73">
        <f t="shared" si="1"/>
        <v>1.2442326298508288</v>
      </c>
    </row>
    <row r="71" spans="1:9" x14ac:dyDescent="0.25">
      <c r="A71" s="75">
        <v>54</v>
      </c>
      <c r="B71" s="71" t="s">
        <v>184</v>
      </c>
      <c r="C71" s="72">
        <v>4</v>
      </c>
      <c r="D71" s="73">
        <v>1.3006455690000001</v>
      </c>
      <c r="E71" s="74">
        <v>0.26819184776617705</v>
      </c>
      <c r="F71" s="74">
        <v>0.24542439499999999</v>
      </c>
      <c r="G71" s="73">
        <f t="shared" si="0"/>
        <v>1.0828391039155607</v>
      </c>
      <c r="H71" s="74">
        <v>3.0987129380001706E-2</v>
      </c>
      <c r="I71" s="73">
        <f t="shared" si="1"/>
        <v>1.1174661727895663</v>
      </c>
    </row>
    <row r="72" spans="1:9" x14ac:dyDescent="0.25">
      <c r="A72" s="70">
        <v>55</v>
      </c>
      <c r="B72" s="71" t="s">
        <v>185</v>
      </c>
      <c r="C72" s="72">
        <v>269</v>
      </c>
      <c r="D72" s="73">
        <v>1.478219605</v>
      </c>
      <c r="E72" s="74">
        <v>0.56388742406962533</v>
      </c>
      <c r="F72" s="74">
        <v>3.7046849999999999E-2</v>
      </c>
      <c r="G72" s="73">
        <f t="shared" si="0"/>
        <v>1.038866703119627</v>
      </c>
      <c r="H72" s="74">
        <v>3.5147731551523551E-2</v>
      </c>
      <c r="I72" s="73">
        <f t="shared" si="1"/>
        <v>1.0767106396403761</v>
      </c>
    </row>
    <row r="73" spans="1:9" x14ac:dyDescent="0.25">
      <c r="A73" s="75">
        <v>56</v>
      </c>
      <c r="B73" s="71" t="s">
        <v>186</v>
      </c>
      <c r="C73" s="72">
        <v>24</v>
      </c>
      <c r="D73" s="73">
        <v>1.016075276</v>
      </c>
      <c r="E73" s="74">
        <v>0.89690510548401725</v>
      </c>
      <c r="F73" s="74">
        <v>5.4572902999999999E-2</v>
      </c>
      <c r="G73" s="73">
        <f t="shared" si="0"/>
        <v>0.60745389868944766</v>
      </c>
      <c r="H73" s="74">
        <v>1.6299624587412496E-2</v>
      </c>
      <c r="I73" s="73">
        <f t="shared" si="1"/>
        <v>0.6175192303191579</v>
      </c>
    </row>
    <row r="74" spans="1:9" x14ac:dyDescent="0.25">
      <c r="A74" s="70">
        <v>57</v>
      </c>
      <c r="B74" s="71" t="s">
        <v>187</v>
      </c>
      <c r="C74" s="72">
        <v>136</v>
      </c>
      <c r="D74" s="73">
        <v>1.57914625</v>
      </c>
      <c r="E74" s="74">
        <v>0.48652105369336984</v>
      </c>
      <c r="F74" s="74">
        <v>5.0552119E-2</v>
      </c>
      <c r="G74" s="73">
        <f t="shared" si="0"/>
        <v>1.1569762659821192</v>
      </c>
      <c r="H74" s="74">
        <v>5.0611916787940935E-2</v>
      </c>
      <c r="I74" s="73">
        <f t="shared" si="1"/>
        <v>1.2186547171181339</v>
      </c>
    </row>
    <row r="75" spans="1:9" x14ac:dyDescent="0.25">
      <c r="A75" s="75">
        <v>58</v>
      </c>
      <c r="B75" s="71" t="s">
        <v>188</v>
      </c>
      <c r="C75" s="72">
        <v>24</v>
      </c>
      <c r="D75" s="73">
        <v>0.99035691400000003</v>
      </c>
      <c r="E75" s="74">
        <v>0.65938174809441352</v>
      </c>
      <c r="F75" s="74">
        <v>0.121782498</v>
      </c>
      <c r="G75" s="73">
        <f t="shared" si="0"/>
        <v>0.66265162422880575</v>
      </c>
      <c r="H75" s="74">
        <v>2.2887789227185852E-2</v>
      </c>
      <c r="I75" s="73">
        <f t="shared" si="1"/>
        <v>0.67817351673939641</v>
      </c>
    </row>
    <row r="76" spans="1:9" x14ac:dyDescent="0.25">
      <c r="A76" s="70">
        <v>59</v>
      </c>
      <c r="B76" s="71" t="s">
        <v>189</v>
      </c>
      <c r="C76" s="72">
        <v>15</v>
      </c>
      <c r="D76" s="73">
        <v>1.5366649800000001</v>
      </c>
      <c r="E76" s="74">
        <v>0.39445965863735066</v>
      </c>
      <c r="F76" s="74">
        <v>0.104055131</v>
      </c>
      <c r="G76" s="73">
        <f t="shared" si="0"/>
        <v>1.1858403463386453</v>
      </c>
      <c r="H76" s="74">
        <v>5.4636304559727358E-2</v>
      </c>
      <c r="I76" s="73">
        <f t="shared" si="1"/>
        <v>1.2543747470505289</v>
      </c>
    </row>
    <row r="77" spans="1:9" x14ac:dyDescent="0.25">
      <c r="A77" s="75">
        <v>60</v>
      </c>
      <c r="B77" s="71" t="s">
        <v>190</v>
      </c>
      <c r="C77" s="72">
        <v>52</v>
      </c>
      <c r="D77" s="73">
        <v>0.57582877700000001</v>
      </c>
      <c r="E77" s="74">
        <v>0.72513148278486894</v>
      </c>
      <c r="F77" s="74">
        <v>0.132674867</v>
      </c>
      <c r="G77" s="73">
        <f t="shared" si="0"/>
        <v>0.37298266973273314</v>
      </c>
      <c r="H77" s="74">
        <v>1.4408615712447007E-2</v>
      </c>
      <c r="I77" s="73">
        <f t="shared" si="1"/>
        <v>0.37843539998307546</v>
      </c>
    </row>
    <row r="78" spans="1:9" x14ac:dyDescent="0.25">
      <c r="A78" s="70">
        <v>61</v>
      </c>
      <c r="B78" s="71" t="s">
        <v>191</v>
      </c>
      <c r="C78" s="72">
        <v>83</v>
      </c>
      <c r="D78" s="73">
        <v>1.4350731219999999</v>
      </c>
      <c r="E78" s="74">
        <v>0.18370552039047586</v>
      </c>
      <c r="F78" s="74">
        <v>1.7488117000000001E-2</v>
      </c>
      <c r="G78" s="73">
        <f t="shared" si="0"/>
        <v>1.2612932257051412</v>
      </c>
      <c r="H78" s="74">
        <v>5.3117262228557012E-2</v>
      </c>
      <c r="I78" s="73">
        <f t="shared" si="1"/>
        <v>1.3320479668619645</v>
      </c>
    </row>
    <row r="79" spans="1:9" x14ac:dyDescent="0.25">
      <c r="A79" s="75">
        <v>62</v>
      </c>
      <c r="B79" s="71" t="s">
        <v>192</v>
      </c>
      <c r="C79" s="72">
        <v>31</v>
      </c>
      <c r="D79" s="73">
        <v>1.0675088150000001</v>
      </c>
      <c r="E79" s="74">
        <v>0.67568022039530995</v>
      </c>
      <c r="F79" s="74">
        <v>8.0958314000000003E-2</v>
      </c>
      <c r="G79" s="73">
        <f t="shared" si="0"/>
        <v>0.70847958393560806</v>
      </c>
      <c r="H79" s="74">
        <v>6.3828823918511343E-2</v>
      </c>
      <c r="I79" s="73">
        <f t="shared" si="1"/>
        <v>0.75678423138498629</v>
      </c>
    </row>
    <row r="80" spans="1:9" x14ac:dyDescent="0.25">
      <c r="A80" s="70">
        <v>63</v>
      </c>
      <c r="B80" s="71" t="s">
        <v>193</v>
      </c>
      <c r="C80" s="72">
        <v>234</v>
      </c>
      <c r="D80" s="73">
        <v>0.68383933200000002</v>
      </c>
      <c r="E80" s="74">
        <v>0.84375868957253464</v>
      </c>
      <c r="F80" s="74">
        <v>1.9179893E-2</v>
      </c>
      <c r="G80" s="73">
        <f t="shared" si="0"/>
        <v>0.41880901974138707</v>
      </c>
      <c r="H80" s="74">
        <v>1.6003271523357159E-2</v>
      </c>
      <c r="I80" s="73">
        <f t="shared" si="1"/>
        <v>0.42562033756937268</v>
      </c>
    </row>
    <row r="81" spans="1:9" x14ac:dyDescent="0.25">
      <c r="A81" s="75">
        <v>64</v>
      </c>
      <c r="B81" s="71" t="s">
        <v>194</v>
      </c>
      <c r="C81" s="72">
        <v>20</v>
      </c>
      <c r="D81" s="73">
        <v>1.2361501370000001</v>
      </c>
      <c r="E81" s="74">
        <v>0.70023741077399149</v>
      </c>
      <c r="F81" s="74">
        <v>2.1859481E-2</v>
      </c>
      <c r="G81" s="73">
        <f t="shared" si="0"/>
        <v>0.81049562079050075</v>
      </c>
      <c r="H81" s="74">
        <v>9.0428434516123535E-2</v>
      </c>
      <c r="I81" s="73">
        <f t="shared" si="1"/>
        <v>0.89107405238567561</v>
      </c>
    </row>
    <row r="82" spans="1:9" x14ac:dyDescent="0.25">
      <c r="A82" s="70">
        <v>65</v>
      </c>
      <c r="B82" s="71" t="s">
        <v>195</v>
      </c>
      <c r="C82" s="72">
        <v>12</v>
      </c>
      <c r="D82" s="73">
        <v>1.6326053380000001</v>
      </c>
      <c r="E82" s="74">
        <v>0.45430460933062267</v>
      </c>
      <c r="F82" s="74">
        <v>6.5475746000000001E-2</v>
      </c>
      <c r="G82" s="73">
        <f t="shared" si="0"/>
        <v>1.2177002207110428</v>
      </c>
      <c r="H82" s="74">
        <v>0.18912988948868203</v>
      </c>
      <c r="I82" s="73">
        <f t="shared" si="1"/>
        <v>1.5017204419375949</v>
      </c>
    </row>
    <row r="83" spans="1:9" x14ac:dyDescent="0.25">
      <c r="A83" s="75">
        <v>66</v>
      </c>
      <c r="B83" s="71" t="s">
        <v>196</v>
      </c>
      <c r="C83" s="72">
        <v>57</v>
      </c>
      <c r="D83" s="73">
        <v>0.93261337399999999</v>
      </c>
      <c r="E83" s="74">
        <v>0.58802447823281023</v>
      </c>
      <c r="F83" s="74">
        <v>5.5796461999999998E-2</v>
      </c>
      <c r="G83" s="73">
        <f t="shared" ref="G83:G113" si="2">IF($F$15="Effective",D83/(1+(1-F83)*E83),D83/(1+(1-$F$16)*E83))</f>
        <v>0.6471904874673361</v>
      </c>
      <c r="H83" s="74">
        <v>4.1266897294081062E-2</v>
      </c>
      <c r="I83" s="73">
        <f t="shared" ref="I83:I113" si="3">G83/(1-H83)</f>
        <v>0.67504760776561479</v>
      </c>
    </row>
    <row r="84" spans="1:9" x14ac:dyDescent="0.25">
      <c r="A84" s="70">
        <v>67</v>
      </c>
      <c r="B84" s="71" t="s">
        <v>197</v>
      </c>
      <c r="C84" s="72">
        <v>63</v>
      </c>
      <c r="D84" s="73">
        <v>0.90177487300000003</v>
      </c>
      <c r="E84" s="74">
        <v>0.33681752033705131</v>
      </c>
      <c r="F84" s="74">
        <v>8.2140500000000005E-2</v>
      </c>
      <c r="G84" s="73">
        <f t="shared" si="2"/>
        <v>0.71991490750130072</v>
      </c>
      <c r="H84" s="74">
        <v>4.524192951196656E-2</v>
      </c>
      <c r="I84" s="73">
        <f t="shared" si="3"/>
        <v>0.75402861704359259</v>
      </c>
    </row>
    <row r="85" spans="1:9" x14ac:dyDescent="0.25">
      <c r="A85" s="75">
        <v>68</v>
      </c>
      <c r="B85" s="71" t="s">
        <v>198</v>
      </c>
      <c r="C85" s="72">
        <v>2</v>
      </c>
      <c r="D85" s="73">
        <v>0.81904634200000004</v>
      </c>
      <c r="E85" s="74">
        <v>0.29011798608038347</v>
      </c>
      <c r="F85" s="74">
        <v>0.17545712799999999</v>
      </c>
      <c r="G85" s="73">
        <f t="shared" si="2"/>
        <v>0.67267911040764305</v>
      </c>
      <c r="H85" s="74">
        <v>0.12622542091068087</v>
      </c>
      <c r="I85" s="73">
        <f t="shared" si="3"/>
        <v>0.76985429252100079</v>
      </c>
    </row>
    <row r="86" spans="1:9" x14ac:dyDescent="0.25">
      <c r="A86" s="70">
        <v>69</v>
      </c>
      <c r="B86" s="71" t="s">
        <v>199</v>
      </c>
      <c r="C86" s="72">
        <v>77</v>
      </c>
      <c r="D86" s="73">
        <v>0.97298048000000004</v>
      </c>
      <c r="E86" s="74">
        <v>0.41654891523266158</v>
      </c>
      <c r="F86" s="74">
        <v>6.5675939000000003E-2</v>
      </c>
      <c r="G86" s="73">
        <f t="shared" si="2"/>
        <v>0.74136834505852767</v>
      </c>
      <c r="H86" s="74">
        <v>1.4001977571733439E-2</v>
      </c>
      <c r="I86" s="73">
        <f t="shared" si="3"/>
        <v>0.75189638132612358</v>
      </c>
    </row>
    <row r="87" spans="1:9" x14ac:dyDescent="0.25">
      <c r="A87" s="75">
        <v>70</v>
      </c>
      <c r="B87" s="71" t="s">
        <v>200</v>
      </c>
      <c r="C87" s="72">
        <v>26</v>
      </c>
      <c r="D87" s="73">
        <v>1.332582621</v>
      </c>
      <c r="E87" s="74">
        <v>0.72871508652896988</v>
      </c>
      <c r="F87" s="74">
        <v>0.14041372099999999</v>
      </c>
      <c r="G87" s="73">
        <f t="shared" si="2"/>
        <v>0.86165621082682786</v>
      </c>
      <c r="H87" s="74">
        <v>7.9013640557808861E-3</v>
      </c>
      <c r="I87" s="73">
        <f t="shared" si="3"/>
        <v>0.86851869321114017</v>
      </c>
    </row>
    <row r="88" spans="1:9" x14ac:dyDescent="0.25">
      <c r="A88" s="70">
        <v>71</v>
      </c>
      <c r="B88" s="71" t="s">
        <v>201</v>
      </c>
      <c r="C88" s="72">
        <v>17</v>
      </c>
      <c r="D88" s="73">
        <v>1.358857744</v>
      </c>
      <c r="E88" s="74">
        <v>0.2571363309393101</v>
      </c>
      <c r="F88" s="74">
        <v>0.1489983</v>
      </c>
      <c r="G88" s="73">
        <f t="shared" si="2"/>
        <v>1.1391668549440168</v>
      </c>
      <c r="H88" s="74">
        <v>1.0255937735608572E-2</v>
      </c>
      <c r="I88" s="73">
        <f t="shared" si="3"/>
        <v>1.1509711433254448</v>
      </c>
    </row>
    <row r="89" spans="1:9" x14ac:dyDescent="0.25">
      <c r="A89" s="75">
        <v>72</v>
      </c>
      <c r="B89" s="71" t="s">
        <v>202</v>
      </c>
      <c r="C89" s="72">
        <v>80</v>
      </c>
      <c r="D89" s="73">
        <v>1.278978137</v>
      </c>
      <c r="E89" s="74">
        <v>0.60860001919660323</v>
      </c>
      <c r="F89" s="74">
        <v>0.119608046</v>
      </c>
      <c r="G89" s="73">
        <f t="shared" si="2"/>
        <v>0.87814763593457457</v>
      </c>
      <c r="H89" s="74">
        <v>1.7418673618858731E-2</v>
      </c>
      <c r="I89" s="73">
        <f t="shared" si="3"/>
        <v>0.89371496522206739</v>
      </c>
    </row>
    <row r="90" spans="1:9" x14ac:dyDescent="0.25">
      <c r="A90" s="70">
        <v>73</v>
      </c>
      <c r="B90" s="71" t="s">
        <v>203</v>
      </c>
      <c r="C90" s="72">
        <v>18</v>
      </c>
      <c r="D90" s="73">
        <v>1.1436996719999999</v>
      </c>
      <c r="E90" s="74">
        <v>0.3210399480162332</v>
      </c>
      <c r="F90" s="74">
        <v>0.15490094200000001</v>
      </c>
      <c r="G90" s="73">
        <f t="shared" si="2"/>
        <v>0.92175865821287029</v>
      </c>
      <c r="H90" s="74">
        <v>2.534361578297642E-2</v>
      </c>
      <c r="I90" s="73">
        <f t="shared" si="3"/>
        <v>0.94572679473428167</v>
      </c>
    </row>
    <row r="91" spans="1:9" x14ac:dyDescent="0.25">
      <c r="A91" s="75">
        <v>74</v>
      </c>
      <c r="B91" s="71" t="s">
        <v>204</v>
      </c>
      <c r="C91" s="72">
        <v>13</v>
      </c>
      <c r="D91" s="73">
        <v>0.587786853</v>
      </c>
      <c r="E91" s="74">
        <v>0.96658930733098536</v>
      </c>
      <c r="F91" s="74">
        <v>0.12781880900000001</v>
      </c>
      <c r="G91" s="73">
        <f t="shared" si="2"/>
        <v>0.34075746294389647</v>
      </c>
      <c r="H91" s="74">
        <v>1.2592182339519703E-2</v>
      </c>
      <c r="I91" s="73">
        <f t="shared" si="3"/>
        <v>0.34510306364726978</v>
      </c>
    </row>
    <row r="92" spans="1:9" x14ac:dyDescent="0.25">
      <c r="A92" s="70">
        <v>75</v>
      </c>
      <c r="B92" s="71" t="s">
        <v>205</v>
      </c>
      <c r="C92" s="72">
        <v>70</v>
      </c>
      <c r="D92" s="73">
        <v>1.2301273779999999</v>
      </c>
      <c r="E92" s="74">
        <v>0.12868029361436256</v>
      </c>
      <c r="F92" s="74">
        <v>2.9189150000000001E-2</v>
      </c>
      <c r="G92" s="73">
        <f t="shared" si="2"/>
        <v>1.1218567372436747</v>
      </c>
      <c r="H92" s="74">
        <v>3.239685907482779E-2</v>
      </c>
      <c r="I92" s="73">
        <f t="shared" si="3"/>
        <v>1.1594182467938388</v>
      </c>
    </row>
    <row r="93" spans="1:9" x14ac:dyDescent="0.25">
      <c r="A93" s="75">
        <v>76</v>
      </c>
      <c r="B93" s="71" t="s">
        <v>206</v>
      </c>
      <c r="C93" s="72">
        <v>89</v>
      </c>
      <c r="D93" s="73">
        <v>1.0303212349999999</v>
      </c>
      <c r="E93" s="74">
        <v>0.70570209261155292</v>
      </c>
      <c r="F93" s="74">
        <v>0.118927488</v>
      </c>
      <c r="G93" s="73">
        <f t="shared" si="2"/>
        <v>0.67373113246920036</v>
      </c>
      <c r="H93" s="74">
        <v>2.406798630269856E-2</v>
      </c>
      <c r="I93" s="73">
        <f t="shared" si="3"/>
        <v>0.69034637967944268</v>
      </c>
    </row>
    <row r="94" spans="1:9" x14ac:dyDescent="0.25">
      <c r="A94" s="70">
        <v>77</v>
      </c>
      <c r="B94" s="71" t="s">
        <v>207</v>
      </c>
      <c r="C94" s="72">
        <v>4</v>
      </c>
      <c r="D94" s="73">
        <v>0.98298896800000002</v>
      </c>
      <c r="E94" s="74">
        <v>1.7803014222971327</v>
      </c>
      <c r="F94" s="74">
        <v>0.20746164</v>
      </c>
      <c r="G94" s="73">
        <f t="shared" si="2"/>
        <v>0.42093953215393926</v>
      </c>
      <c r="H94" s="74">
        <v>7.1145466674894201E-2</v>
      </c>
      <c r="I94" s="73">
        <f t="shared" si="3"/>
        <v>0.45318132931651134</v>
      </c>
    </row>
    <row r="95" spans="1:9" x14ac:dyDescent="0.25">
      <c r="A95" s="75">
        <v>78</v>
      </c>
      <c r="B95" s="71" t="s">
        <v>208</v>
      </c>
      <c r="C95" s="72">
        <v>72</v>
      </c>
      <c r="D95" s="73">
        <v>1.2865982869999999</v>
      </c>
      <c r="E95" s="74">
        <v>0.11800044859380363</v>
      </c>
      <c r="F95" s="74">
        <v>6.1504982999999999E-2</v>
      </c>
      <c r="G95" s="73">
        <f t="shared" si="2"/>
        <v>1.1819916300637658</v>
      </c>
      <c r="H95" s="74">
        <v>4.4384411207571188E-2</v>
      </c>
      <c r="I95" s="73">
        <f t="shared" si="3"/>
        <v>1.2368902767245551</v>
      </c>
    </row>
    <row r="96" spans="1:9" x14ac:dyDescent="0.25">
      <c r="A96" s="70">
        <v>79</v>
      </c>
      <c r="B96" s="71" t="s">
        <v>209</v>
      </c>
      <c r="C96" s="72">
        <v>39</v>
      </c>
      <c r="D96" s="73">
        <v>1.278467646</v>
      </c>
      <c r="E96" s="74">
        <v>0.12173036853717387</v>
      </c>
      <c r="F96" s="74">
        <v>9.7113162000000003E-2</v>
      </c>
      <c r="G96" s="73">
        <f t="shared" si="2"/>
        <v>1.1715112718492529</v>
      </c>
      <c r="H96" s="74">
        <v>6.5396142584039529E-2</v>
      </c>
      <c r="I96" s="73">
        <f t="shared" si="3"/>
        <v>1.2534843105487556</v>
      </c>
    </row>
    <row r="97" spans="1:9" x14ac:dyDescent="0.25">
      <c r="A97" s="75">
        <v>80</v>
      </c>
      <c r="B97" s="71" t="s">
        <v>210</v>
      </c>
      <c r="C97" s="72">
        <v>10</v>
      </c>
      <c r="D97" s="73">
        <v>2.1735484760000001</v>
      </c>
      <c r="E97" s="74">
        <v>0.5571456179453671</v>
      </c>
      <c r="F97" s="74">
        <v>4.8923979999999999E-2</v>
      </c>
      <c r="G97" s="73">
        <f t="shared" si="2"/>
        <v>1.5329790541737827</v>
      </c>
      <c r="H97" s="74">
        <v>2.4446724094159631E-2</v>
      </c>
      <c r="I97" s="73">
        <f t="shared" si="3"/>
        <v>1.5713945020074378</v>
      </c>
    </row>
    <row r="98" spans="1:9" x14ac:dyDescent="0.25">
      <c r="A98" s="70">
        <v>81</v>
      </c>
      <c r="B98" s="71" t="s">
        <v>211</v>
      </c>
      <c r="C98" s="72">
        <v>11</v>
      </c>
      <c r="D98" s="73">
        <v>0.86816026400000001</v>
      </c>
      <c r="E98" s="74">
        <v>8.8018444126686926E-2</v>
      </c>
      <c r="F98" s="74">
        <v>0.13978438100000001</v>
      </c>
      <c r="G98" s="73">
        <f t="shared" si="2"/>
        <v>0.81439868512721225</v>
      </c>
      <c r="H98" s="74">
        <v>2.3045890380557012E-2</v>
      </c>
      <c r="I98" s="73">
        <f t="shared" si="3"/>
        <v>0.83360996909511786</v>
      </c>
    </row>
    <row r="99" spans="1:9" x14ac:dyDescent="0.25">
      <c r="A99" s="75">
        <v>82</v>
      </c>
      <c r="B99" s="71" t="s">
        <v>212</v>
      </c>
      <c r="C99" s="72">
        <v>86</v>
      </c>
      <c r="D99" s="73">
        <v>1.2883300280000001</v>
      </c>
      <c r="E99" s="74">
        <v>3.7989640927729676E-2</v>
      </c>
      <c r="F99" s="74">
        <v>2.5786192999999999E-2</v>
      </c>
      <c r="G99" s="73">
        <f t="shared" si="2"/>
        <v>1.2526395334347027</v>
      </c>
      <c r="H99" s="74">
        <v>2.5846163837076969E-2</v>
      </c>
      <c r="I99" s="73">
        <f t="shared" si="3"/>
        <v>1.2858744552797758</v>
      </c>
    </row>
    <row r="100" spans="1:9" x14ac:dyDescent="0.25">
      <c r="A100" s="70">
        <v>83</v>
      </c>
      <c r="B100" s="71" t="s">
        <v>213</v>
      </c>
      <c r="C100" s="72">
        <v>30</v>
      </c>
      <c r="D100" s="73">
        <v>1.6728300780000001</v>
      </c>
      <c r="E100" s="74">
        <v>0.20414523808735685</v>
      </c>
      <c r="F100" s="74">
        <v>1.2283565E-2</v>
      </c>
      <c r="G100" s="73">
        <f t="shared" si="2"/>
        <v>1.4507129695726337</v>
      </c>
      <c r="H100" s="74">
        <v>3.4919051104044897E-2</v>
      </c>
      <c r="I100" s="73">
        <f t="shared" si="3"/>
        <v>1.5032034061310999</v>
      </c>
    </row>
    <row r="101" spans="1:9" x14ac:dyDescent="0.25">
      <c r="A101" s="75">
        <v>84</v>
      </c>
      <c r="B101" s="71" t="s">
        <v>214</v>
      </c>
      <c r="C101" s="72">
        <v>363</v>
      </c>
      <c r="D101" s="73">
        <v>1.196459765</v>
      </c>
      <c r="E101" s="74">
        <v>9.6717917918846569E-2</v>
      </c>
      <c r="F101" s="74">
        <v>2.6009852999999999E-2</v>
      </c>
      <c r="G101" s="73">
        <f t="shared" si="2"/>
        <v>1.1155402194640294</v>
      </c>
      <c r="H101" s="74">
        <v>2.9256659833035482E-2</v>
      </c>
      <c r="I101" s="73">
        <f t="shared" si="3"/>
        <v>1.1491608268691911</v>
      </c>
    </row>
    <row r="102" spans="1:9" x14ac:dyDescent="0.25">
      <c r="A102" s="70">
        <v>85</v>
      </c>
      <c r="B102" s="71" t="s">
        <v>215</v>
      </c>
      <c r="C102" s="72">
        <v>32</v>
      </c>
      <c r="D102" s="73">
        <v>1.618693392</v>
      </c>
      <c r="E102" s="74">
        <v>0.46972303105448476</v>
      </c>
      <c r="F102" s="74">
        <v>9.2520965999999996E-2</v>
      </c>
      <c r="G102" s="73">
        <f t="shared" si="2"/>
        <v>1.19699966048082</v>
      </c>
      <c r="H102" s="74">
        <v>6.8894986795378477E-2</v>
      </c>
      <c r="I102" s="73">
        <f t="shared" si="3"/>
        <v>1.2855689138232198</v>
      </c>
    </row>
    <row r="103" spans="1:9" x14ac:dyDescent="0.25">
      <c r="A103" s="75">
        <v>86</v>
      </c>
      <c r="B103" s="71" t="s">
        <v>216</v>
      </c>
      <c r="C103" s="72">
        <v>18</v>
      </c>
      <c r="D103" s="73">
        <v>1.142928674</v>
      </c>
      <c r="E103" s="74">
        <v>1.3119141586173797</v>
      </c>
      <c r="F103" s="74">
        <v>5.8932112000000002E-2</v>
      </c>
      <c r="G103" s="73">
        <f t="shared" si="2"/>
        <v>0.57609161460460445</v>
      </c>
      <c r="H103" s="74">
        <v>3.4873811105091197E-2</v>
      </c>
      <c r="I103" s="73">
        <f t="shared" si="3"/>
        <v>0.59690807402526536</v>
      </c>
    </row>
    <row r="104" spans="1:9" x14ac:dyDescent="0.25">
      <c r="A104" s="70">
        <v>87</v>
      </c>
      <c r="B104" s="71" t="s">
        <v>217</v>
      </c>
      <c r="C104" s="72">
        <v>91</v>
      </c>
      <c r="D104" s="73">
        <v>0.89438610699999999</v>
      </c>
      <c r="E104" s="74">
        <v>0.17222533096901704</v>
      </c>
      <c r="F104" s="74">
        <v>4.3136855000000002E-2</v>
      </c>
      <c r="G104" s="73">
        <f t="shared" si="2"/>
        <v>0.79207462160627529</v>
      </c>
      <c r="H104" s="74">
        <v>5.2518131030614638E-2</v>
      </c>
      <c r="I104" s="73">
        <f t="shared" si="3"/>
        <v>0.83597865832287344</v>
      </c>
    </row>
    <row r="105" spans="1:9" x14ac:dyDescent="0.25">
      <c r="A105" s="75">
        <v>88</v>
      </c>
      <c r="B105" s="71" t="s">
        <v>218</v>
      </c>
      <c r="C105" s="72">
        <v>67</v>
      </c>
      <c r="D105" s="73">
        <v>1.0481614109999999</v>
      </c>
      <c r="E105" s="74">
        <v>0.79192242619436271</v>
      </c>
      <c r="F105" s="74">
        <v>4.1683738999999997E-2</v>
      </c>
      <c r="G105" s="73">
        <f t="shared" si="2"/>
        <v>0.65759075901085084</v>
      </c>
      <c r="H105" s="74">
        <v>1.3491866414594282E-2</v>
      </c>
      <c r="I105" s="73">
        <f t="shared" si="3"/>
        <v>0.66658422431944475</v>
      </c>
    </row>
    <row r="106" spans="1:9" x14ac:dyDescent="0.25">
      <c r="A106" s="70">
        <v>89</v>
      </c>
      <c r="B106" s="71" t="s">
        <v>219</v>
      </c>
      <c r="C106" s="72">
        <v>17</v>
      </c>
      <c r="D106" s="73">
        <v>1.6802684489999999</v>
      </c>
      <c r="E106" s="74">
        <v>0.28559293228969279</v>
      </c>
      <c r="F106" s="74">
        <v>0.114848199</v>
      </c>
      <c r="G106" s="73">
        <f t="shared" si="2"/>
        <v>1.3838542122471664</v>
      </c>
      <c r="H106" s="74">
        <v>2.9774770305534048E-2</v>
      </c>
      <c r="I106" s="73">
        <f t="shared" si="3"/>
        <v>1.426322641272642</v>
      </c>
    </row>
    <row r="107" spans="1:9" x14ac:dyDescent="0.25">
      <c r="A107" s="75">
        <v>90</v>
      </c>
      <c r="B107" s="71" t="s">
        <v>220</v>
      </c>
      <c r="C107" s="72">
        <v>18</v>
      </c>
      <c r="D107" s="73">
        <v>1.3051698169999999</v>
      </c>
      <c r="E107" s="74">
        <v>0.54233105549485539</v>
      </c>
      <c r="F107" s="74">
        <v>0.127586542</v>
      </c>
      <c r="G107" s="73">
        <f t="shared" si="2"/>
        <v>0.92779200427954156</v>
      </c>
      <c r="H107" s="74">
        <v>3.0793987079598011E-2</v>
      </c>
      <c r="I107" s="73">
        <f t="shared" si="3"/>
        <v>0.95727016951115262</v>
      </c>
    </row>
    <row r="108" spans="1:9" x14ac:dyDescent="0.25">
      <c r="A108" s="70">
        <v>91</v>
      </c>
      <c r="B108" s="71" t="s">
        <v>221</v>
      </c>
      <c r="C108" s="72">
        <v>8</v>
      </c>
      <c r="D108" s="73">
        <v>2.2404253390000002</v>
      </c>
      <c r="E108" s="74">
        <v>0.2623676033935386</v>
      </c>
      <c r="F108" s="74">
        <v>0.12240466999999999</v>
      </c>
      <c r="G108" s="73">
        <f t="shared" si="2"/>
        <v>1.8720511573182357</v>
      </c>
      <c r="H108" s="74">
        <v>1.053498972045796E-2</v>
      </c>
      <c r="I108" s="73">
        <f t="shared" si="3"/>
        <v>1.8919831806779572</v>
      </c>
    </row>
    <row r="109" spans="1:9" x14ac:dyDescent="0.25">
      <c r="A109" s="75">
        <v>92</v>
      </c>
      <c r="B109" s="71" t="s">
        <v>222</v>
      </c>
      <c r="C109" s="72">
        <v>33</v>
      </c>
      <c r="D109" s="73">
        <v>1.3721746720000001</v>
      </c>
      <c r="E109" s="74">
        <v>0.57875635719310092</v>
      </c>
      <c r="F109" s="74">
        <v>0.16734843399999999</v>
      </c>
      <c r="G109" s="73">
        <f t="shared" si="2"/>
        <v>0.95684121848364734</v>
      </c>
      <c r="H109" s="74">
        <v>8.0903147447326296E-2</v>
      </c>
      <c r="I109" s="73">
        <f t="shared" si="3"/>
        <v>1.041066799245524</v>
      </c>
    </row>
    <row r="110" spans="1:9" x14ac:dyDescent="0.25">
      <c r="A110" s="70">
        <v>93</v>
      </c>
      <c r="B110" s="71" t="s">
        <v>223</v>
      </c>
      <c r="C110" s="72">
        <v>16</v>
      </c>
      <c r="D110" s="73">
        <v>0.28392773900000001</v>
      </c>
      <c r="E110" s="74">
        <v>0.66945309838857592</v>
      </c>
      <c r="F110" s="74">
        <v>0.13445575600000001</v>
      </c>
      <c r="G110" s="73">
        <f t="shared" si="2"/>
        <v>0.18902181114797562</v>
      </c>
      <c r="H110" s="74">
        <v>3.5142138925668719E-3</v>
      </c>
      <c r="I110" s="73">
        <f t="shared" si="3"/>
        <v>0.18968841681761509</v>
      </c>
    </row>
    <row r="111" spans="1:9" x14ac:dyDescent="0.25">
      <c r="A111" s="75">
        <v>94</v>
      </c>
      <c r="B111" s="71" t="s">
        <v>224</v>
      </c>
      <c r="C111" s="72">
        <v>17</v>
      </c>
      <c r="D111" s="73">
        <v>0.68451251499999999</v>
      </c>
      <c r="E111" s="74">
        <v>0.35754961794436241</v>
      </c>
      <c r="F111" s="74">
        <v>0.10013337999999999</v>
      </c>
      <c r="G111" s="73">
        <f t="shared" si="2"/>
        <v>0.5397673166221677</v>
      </c>
      <c r="H111" s="74">
        <v>4.5202511279839291E-2</v>
      </c>
      <c r="I111" s="73">
        <f t="shared" si="3"/>
        <v>0.56532125712405057</v>
      </c>
    </row>
    <row r="112" spans="1:9" s="59" customFormat="1" x14ac:dyDescent="0.25">
      <c r="A112" s="70">
        <v>95</v>
      </c>
      <c r="B112" s="76" t="s">
        <v>225</v>
      </c>
      <c r="C112" s="77">
        <v>7053</v>
      </c>
      <c r="D112" s="78">
        <v>1.1288402320474928</v>
      </c>
      <c r="E112" s="79">
        <v>0.58004096347716227</v>
      </c>
      <c r="F112" s="79">
        <v>7.3204225418946681E-2</v>
      </c>
      <c r="G112" s="73">
        <f t="shared" si="2"/>
        <v>0.78663140395772102</v>
      </c>
      <c r="H112" s="79">
        <v>5.1627192185888099E-2</v>
      </c>
      <c r="I112" s="73">
        <f t="shared" si="3"/>
        <v>0.82945377332234371</v>
      </c>
    </row>
    <row r="113" spans="1:9" s="59" customFormat="1" x14ac:dyDescent="0.25">
      <c r="A113" s="75">
        <v>96</v>
      </c>
      <c r="B113" s="80" t="s">
        <v>226</v>
      </c>
      <c r="C113" s="81">
        <v>5878</v>
      </c>
      <c r="D113" s="82">
        <v>1.2095280307482079</v>
      </c>
      <c r="E113" s="83">
        <v>0.31604573809323266</v>
      </c>
      <c r="F113" s="83">
        <v>5.8130815794799416E-2</v>
      </c>
      <c r="G113" s="73">
        <f t="shared" si="2"/>
        <v>0.97776434110005117</v>
      </c>
      <c r="H113" s="83">
        <v>3.4289347045306132E-2</v>
      </c>
      <c r="I113" s="73">
        <f t="shared" si="3"/>
        <v>1.0124816766890556</v>
      </c>
    </row>
  </sheetData>
  <mergeCells count="9">
    <mergeCell ref="B8:G8"/>
    <mergeCell ref="H8:H14"/>
    <mergeCell ref="B9:G9"/>
    <mergeCell ref="B10:E10"/>
    <mergeCell ref="F10:G10"/>
    <mergeCell ref="B11:G11"/>
    <mergeCell ref="B12:G12"/>
    <mergeCell ref="B13:G13"/>
    <mergeCell ref="B14:G14"/>
  </mergeCells>
  <hyperlinks>
    <hyperlink ref="B9" r:id="rId1" xr:uid="{D31D803C-B304-4087-A2AC-FFE61BCBB722}"/>
    <hyperlink ref="B11" r:id="rId2" xr:uid="{8673DE72-F367-401E-BA4C-B038168CCA46}"/>
    <hyperlink ref="B12" r:id="rId3" xr:uid="{EE2556AA-CA1C-4DB4-A933-BD09ED5B1BFC}"/>
    <hyperlink ref="B13" r:id="rId4" xr:uid="{3402AFE6-13FE-4353-B2F2-2BD135EE6EBB}"/>
    <hyperlink ref="B14" r:id="rId5" xr:uid="{A73E734E-AD0D-4CA2-824F-C4B7AE7FEC42}"/>
    <hyperlink ref="H8:H14" r:id="rId6" display="YouTube Video explaining estimation choices and process." xr:uid="{DF7B078E-C0A4-478C-8BF6-11A1594F762B}"/>
  </hyperlinks>
  <pageMargins left="0.75" right="0.75" top="1" bottom="1" header="0.5" footer="0.5"/>
  <pageSetup scale="60" orientation="landscape" horizontalDpi="4294967292" verticalDpi="4294967292"/>
  <headerFooter alignWithMargins="0">
    <oddHeader>&amp;L&amp;"Calibri,Regular"&amp;K000000Global Companies&amp;C&amp;"Calibri,Regular"&amp;K000000Betas by Sector&amp;R&amp;"Calibri,Regular"&amp;K000000January 2016</oddHeader>
  </headerFooter>
  <drawing r:id="rId7"/>
  <tableParts count="1"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2:I30"/>
  <sheetViews>
    <sheetView workbookViewId="0">
      <selection activeCell="C30" sqref="C30"/>
    </sheetView>
  </sheetViews>
  <sheetFormatPr baseColWidth="10" defaultRowHeight="15" x14ac:dyDescent="0.25"/>
  <cols>
    <col min="1" max="1" width="48.7109375" bestFit="1" customWidth="1"/>
    <col min="2" max="2" width="18.5703125" customWidth="1"/>
    <col min="3" max="3" width="15.7109375" customWidth="1"/>
    <col min="4" max="8" width="16.85546875" bestFit="1" customWidth="1"/>
  </cols>
  <sheetData>
    <row r="2" spans="1:9" x14ac:dyDescent="0.25">
      <c r="B2" s="13">
        <v>2012</v>
      </c>
      <c r="C2" s="13">
        <v>2013</v>
      </c>
      <c r="D2" s="13">
        <v>2014</v>
      </c>
      <c r="E2" s="13">
        <v>2015</v>
      </c>
      <c r="F2" s="13">
        <v>2016</v>
      </c>
      <c r="G2" s="13">
        <v>2017</v>
      </c>
      <c r="H2" s="13">
        <v>2018</v>
      </c>
    </row>
    <row r="3" spans="1:9" x14ac:dyDescent="0.25">
      <c r="A3" t="s">
        <v>30</v>
      </c>
      <c r="E3" s="3"/>
      <c r="F3" s="4"/>
      <c r="G3" s="4"/>
      <c r="H3" s="4"/>
      <c r="I3" s="4"/>
    </row>
    <row r="4" spans="1:9" x14ac:dyDescent="0.25">
      <c r="A4" s="1" t="s">
        <v>20</v>
      </c>
      <c r="B4" s="14"/>
      <c r="C4" s="14"/>
      <c r="D4" s="2">
        <v>2284447082</v>
      </c>
      <c r="E4" s="2">
        <v>2463263371</v>
      </c>
      <c r="F4" s="2">
        <v>2355270685</v>
      </c>
      <c r="G4" s="2">
        <v>3482807721</v>
      </c>
      <c r="H4" s="2"/>
    </row>
    <row r="5" spans="1:9" x14ac:dyDescent="0.25">
      <c r="A5" s="1" t="s">
        <v>18</v>
      </c>
      <c r="B5" s="14"/>
      <c r="C5" s="14"/>
      <c r="D5" s="2">
        <v>-1111422054.9200001</v>
      </c>
      <c r="E5" s="2">
        <v>-1100881733.5999999</v>
      </c>
      <c r="F5" s="2">
        <v>-63475490.470000744</v>
      </c>
      <c r="G5" s="2">
        <v>-692118984.65999985</v>
      </c>
      <c r="H5" s="2">
        <v>-582904770</v>
      </c>
    </row>
    <row r="6" spans="1:9" x14ac:dyDescent="0.25">
      <c r="A6" s="1" t="s">
        <v>27</v>
      </c>
      <c r="B6" s="14"/>
      <c r="C6" s="14"/>
      <c r="D6" s="2"/>
      <c r="E6" s="2"/>
      <c r="F6" s="2"/>
      <c r="G6" s="2"/>
      <c r="H6" s="2">
        <v>30000000</v>
      </c>
    </row>
    <row r="7" spans="1:9" x14ac:dyDescent="0.25">
      <c r="A7" s="1" t="s">
        <v>16</v>
      </c>
      <c r="B7" s="14"/>
      <c r="C7" s="14"/>
      <c r="D7" s="2">
        <v>45006588.640000001</v>
      </c>
      <c r="E7" s="2">
        <v>117731990.03999999</v>
      </c>
      <c r="F7" s="2">
        <v>202555856.52000001</v>
      </c>
      <c r="G7" s="2">
        <v>78762085.430000007</v>
      </c>
      <c r="H7" s="2">
        <v>13422216</v>
      </c>
    </row>
    <row r="8" spans="1:9" x14ac:dyDescent="0.25">
      <c r="A8" s="1" t="s">
        <v>19</v>
      </c>
      <c r="B8" s="14"/>
      <c r="C8" s="14"/>
      <c r="D8" s="2">
        <v>-34670770</v>
      </c>
      <c r="E8" s="2">
        <v>671682957</v>
      </c>
      <c r="F8" s="2">
        <v>-26939000</v>
      </c>
      <c r="G8" s="2"/>
      <c r="H8" s="2"/>
    </row>
    <row r="9" spans="1:9" x14ac:dyDescent="0.25">
      <c r="A9" s="6" t="s">
        <v>31</v>
      </c>
      <c r="B9" s="22"/>
      <c r="C9" s="22"/>
      <c r="D9" s="8">
        <f>SUM(D4:D8)</f>
        <v>1183360845.72</v>
      </c>
      <c r="E9" s="8">
        <f t="shared" ref="E9:H9" si="0">SUM(E4:E8)</f>
        <v>2151796584.4400001</v>
      </c>
      <c r="F9" s="8">
        <f t="shared" si="0"/>
        <v>2467412051.0499992</v>
      </c>
      <c r="G9" s="8">
        <f t="shared" si="0"/>
        <v>2869450821.77</v>
      </c>
      <c r="H9" s="8">
        <f t="shared" si="0"/>
        <v>-539482554</v>
      </c>
    </row>
    <row r="11" spans="1:9" x14ac:dyDescent="0.25">
      <c r="A11" t="s">
        <v>24</v>
      </c>
      <c r="D11" s="2"/>
      <c r="E11" s="2">
        <v>51570000</v>
      </c>
      <c r="F11" s="2">
        <v>1740000</v>
      </c>
      <c r="G11" s="2">
        <v>92751425</v>
      </c>
      <c r="H11" s="2">
        <v>7497000</v>
      </c>
    </row>
    <row r="12" spans="1:9" x14ac:dyDescent="0.25">
      <c r="A12" s="11" t="s">
        <v>3</v>
      </c>
      <c r="B12" s="11"/>
      <c r="C12" s="11"/>
      <c r="D12" s="2">
        <v>82940000</v>
      </c>
      <c r="E12" s="2">
        <v>98351760</v>
      </c>
      <c r="F12" s="2">
        <v>361558183</v>
      </c>
      <c r="G12" s="2">
        <v>455928392</v>
      </c>
      <c r="H12" s="2">
        <v>491955892</v>
      </c>
    </row>
    <row r="13" spans="1:9" x14ac:dyDescent="0.25">
      <c r="A13" s="11" t="s">
        <v>25</v>
      </c>
      <c r="B13" s="11"/>
      <c r="C13" s="11"/>
      <c r="D13" s="2"/>
      <c r="E13" s="2">
        <v>55868430</v>
      </c>
      <c r="F13" s="2">
        <v>31907949</v>
      </c>
      <c r="G13" s="2">
        <v>3000000</v>
      </c>
      <c r="H13" s="2">
        <v>6249936</v>
      </c>
    </row>
    <row r="14" spans="1:9" x14ac:dyDescent="0.25">
      <c r="A14" s="11" t="s">
        <v>4</v>
      </c>
      <c r="B14" s="11"/>
      <c r="C14" s="11"/>
      <c r="D14" s="2">
        <v>30493853</v>
      </c>
      <c r="E14" s="2"/>
      <c r="F14" s="2">
        <v>22944853</v>
      </c>
      <c r="G14" s="2">
        <v>27717480</v>
      </c>
      <c r="H14" s="2"/>
    </row>
    <row r="15" spans="1:9" x14ac:dyDescent="0.25">
      <c r="A15" s="11" t="s">
        <v>5</v>
      </c>
      <c r="B15" s="11"/>
      <c r="C15" s="11"/>
      <c r="D15" s="2">
        <v>14259122</v>
      </c>
      <c r="E15" s="2">
        <v>6204000</v>
      </c>
      <c r="F15" s="2">
        <v>10550000</v>
      </c>
      <c r="G15" s="2">
        <v>12678332</v>
      </c>
      <c r="H15" s="2">
        <v>34385477</v>
      </c>
    </row>
    <row r="16" spans="1:9" x14ac:dyDescent="0.25">
      <c r="A16" s="11" t="s">
        <v>6</v>
      </c>
      <c r="B16" s="11"/>
      <c r="C16" s="11"/>
      <c r="D16" s="2">
        <v>22650000</v>
      </c>
      <c r="E16" s="2">
        <v>68558841</v>
      </c>
      <c r="F16" s="2"/>
      <c r="G16" s="2"/>
      <c r="H16" s="2"/>
    </row>
    <row r="17" spans="1:8" x14ac:dyDescent="0.25">
      <c r="A17" s="11" t="s">
        <v>7</v>
      </c>
      <c r="B17" s="11"/>
      <c r="C17" s="11"/>
      <c r="D17" s="2">
        <v>6234000</v>
      </c>
      <c r="E17" s="2">
        <v>18954400</v>
      </c>
      <c r="F17" s="2">
        <v>27682471</v>
      </c>
      <c r="G17" s="2">
        <v>10821484</v>
      </c>
      <c r="H17" s="2"/>
    </row>
    <row r="18" spans="1:8" x14ac:dyDescent="0.25">
      <c r="A18" s="11" t="s">
        <v>8</v>
      </c>
      <c r="B18" s="11"/>
      <c r="C18" s="11"/>
      <c r="D18" s="2">
        <v>74593600</v>
      </c>
      <c r="E18" s="2">
        <v>12577352</v>
      </c>
      <c r="F18" s="2">
        <v>4500000</v>
      </c>
      <c r="G18" s="2">
        <v>4850000</v>
      </c>
      <c r="H18" s="2">
        <v>50575100</v>
      </c>
    </row>
    <row r="19" spans="1:8" x14ac:dyDescent="0.25">
      <c r="A19" s="11" t="s">
        <v>26</v>
      </c>
      <c r="B19" s="11"/>
      <c r="C19" s="11"/>
      <c r="D19" s="2"/>
      <c r="E19" s="2"/>
      <c r="F19" s="2"/>
      <c r="G19" s="2">
        <v>162593274</v>
      </c>
      <c r="H19" s="2"/>
    </row>
    <row r="20" spans="1:8" x14ac:dyDescent="0.25">
      <c r="A20" s="11" t="s">
        <v>9</v>
      </c>
      <c r="B20" s="11"/>
      <c r="C20" s="11"/>
      <c r="D20" s="2">
        <v>1800000</v>
      </c>
      <c r="E20" s="2"/>
      <c r="F20" s="2"/>
      <c r="G20" s="2"/>
      <c r="H20" s="2"/>
    </row>
    <row r="21" spans="1:8" x14ac:dyDescent="0.25">
      <c r="A21" s="11" t="s">
        <v>10</v>
      </c>
      <c r="B21" s="11"/>
      <c r="C21" s="11"/>
      <c r="D21" s="2">
        <v>75558000</v>
      </c>
      <c r="E21" s="2"/>
      <c r="F21" s="2"/>
      <c r="G21" s="2">
        <v>21563395</v>
      </c>
      <c r="H21" s="2"/>
    </row>
    <row r="22" spans="1:8" x14ac:dyDescent="0.25">
      <c r="A22" s="11" t="s">
        <v>11</v>
      </c>
      <c r="B22" s="11"/>
      <c r="C22" s="11"/>
      <c r="D22" s="2">
        <v>101337400</v>
      </c>
      <c r="E22" s="2">
        <v>75169200</v>
      </c>
      <c r="F22" s="2">
        <v>70931943</v>
      </c>
      <c r="G22" s="2">
        <v>124269816</v>
      </c>
      <c r="H22" s="2"/>
    </row>
    <row r="23" spans="1:8" x14ac:dyDescent="0.25">
      <c r="A23" s="11" t="s">
        <v>12</v>
      </c>
      <c r="B23" s="5">
        <v>3234558738</v>
      </c>
      <c r="C23" s="24">
        <v>3023407883</v>
      </c>
      <c r="D23" s="2">
        <v>1149179755</v>
      </c>
      <c r="E23" s="2">
        <v>1781046467</v>
      </c>
      <c r="F23" s="2">
        <v>1955006328</v>
      </c>
      <c r="G23" s="2">
        <v>2767593773</v>
      </c>
      <c r="H23" s="2">
        <v>3093577355</v>
      </c>
    </row>
    <row r="24" spans="1:8" x14ac:dyDescent="0.25">
      <c r="A24" s="11" t="s">
        <v>13</v>
      </c>
      <c r="B24" s="11"/>
      <c r="C24" s="11"/>
      <c r="D24" s="2">
        <v>142597430</v>
      </c>
      <c r="E24" s="2">
        <v>212031878</v>
      </c>
      <c r="F24" s="2">
        <v>229534692</v>
      </c>
      <c r="G24" s="2">
        <v>200054334</v>
      </c>
      <c r="H24" s="2">
        <v>159927043</v>
      </c>
    </row>
    <row r="25" spans="1:8" x14ac:dyDescent="0.25">
      <c r="A25" s="11" t="s">
        <v>36</v>
      </c>
      <c r="B25" s="11"/>
      <c r="C25" s="11"/>
      <c r="D25" s="2"/>
      <c r="E25" s="2"/>
      <c r="F25" s="2"/>
      <c r="G25" s="2">
        <v>450163614</v>
      </c>
      <c r="H25" s="2"/>
    </row>
    <row r="26" spans="1:8" x14ac:dyDescent="0.25">
      <c r="A26" s="11" t="s">
        <v>14</v>
      </c>
      <c r="B26" s="11"/>
      <c r="C26" s="11"/>
      <c r="D26" s="2">
        <v>9411214</v>
      </c>
      <c r="E26" s="2">
        <v>14899450</v>
      </c>
      <c r="F26" s="2">
        <v>18851942</v>
      </c>
      <c r="G26" s="2">
        <v>17727237</v>
      </c>
      <c r="H26" s="2">
        <v>19393660</v>
      </c>
    </row>
    <row r="27" spans="1:8" x14ac:dyDescent="0.25">
      <c r="A27" s="11" t="s">
        <v>65</v>
      </c>
      <c r="B27" s="5">
        <v>320618977</v>
      </c>
      <c r="C27" s="24">
        <v>414077890</v>
      </c>
      <c r="D27" s="2"/>
      <c r="E27" s="2"/>
      <c r="F27" s="2"/>
      <c r="G27" s="2"/>
      <c r="H27" s="2"/>
    </row>
    <row r="28" spans="1:8" x14ac:dyDescent="0.25">
      <c r="B28" s="12">
        <f>SUM(B11:B27)</f>
        <v>3555177715</v>
      </c>
      <c r="C28" s="12">
        <f>SUM(C11:C27)</f>
        <v>3437485773</v>
      </c>
      <c r="D28" s="12">
        <f>SUM(D11:D26)</f>
        <v>1711054374</v>
      </c>
      <c r="E28" s="12">
        <f t="shared" ref="E28:H28" si="1">SUM(E11:E26)</f>
        <v>2395231778</v>
      </c>
      <c r="F28" s="12">
        <f t="shared" si="1"/>
        <v>2735208361</v>
      </c>
      <c r="G28" s="12">
        <f t="shared" si="1"/>
        <v>4351712556</v>
      </c>
      <c r="H28" s="12">
        <f t="shared" si="1"/>
        <v>3863561463</v>
      </c>
    </row>
    <row r="30" spans="1:8" x14ac:dyDescent="0.25">
      <c r="B30" s="12">
        <f t="shared" ref="B30:C30" si="2">+B9-B28</f>
        <v>-3555177715</v>
      </c>
      <c r="C30" s="12">
        <f t="shared" si="2"/>
        <v>-3437485773</v>
      </c>
      <c r="D30" s="12">
        <f>+D9-D28</f>
        <v>-527693528.27999997</v>
      </c>
      <c r="E30" s="12">
        <f t="shared" ref="E30:H30" si="3">+E9-E28</f>
        <v>-243435193.55999994</v>
      </c>
      <c r="F30" s="12">
        <f t="shared" si="3"/>
        <v>-267796309.95000076</v>
      </c>
      <c r="G30" s="12">
        <f t="shared" si="3"/>
        <v>-1482261734.23</v>
      </c>
      <c r="H30" s="12">
        <f t="shared" si="3"/>
        <v>-4403044017</v>
      </c>
    </row>
  </sheetData>
  <pageMargins left="0.7" right="0.7" top="0.75" bottom="0.75" header="0.3" footer="0.3"/>
  <pageSetup orientation="portrait" r:id="rId1"/>
  <ignoredErrors>
    <ignoredError sqref="D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2:B6"/>
  <sheetViews>
    <sheetView workbookViewId="0">
      <selection activeCell="A7" sqref="A7"/>
    </sheetView>
  </sheetViews>
  <sheetFormatPr baseColWidth="10" defaultRowHeight="15" x14ac:dyDescent="0.25"/>
  <cols>
    <col min="1" max="1" width="28.85546875" bestFit="1" customWidth="1"/>
    <col min="2" max="2" width="16.85546875" bestFit="1" customWidth="1"/>
  </cols>
  <sheetData>
    <row r="2" spans="1:2" x14ac:dyDescent="0.25">
      <c r="A2" s="17" t="s">
        <v>54</v>
      </c>
      <c r="B2" s="18">
        <v>106699876025</v>
      </c>
    </row>
    <row r="3" spans="1:2" x14ac:dyDescent="0.25">
      <c r="A3" s="19" t="s">
        <v>55</v>
      </c>
      <c r="B3" s="18">
        <v>12803985123</v>
      </c>
    </row>
    <row r="4" spans="1:2" ht="25.5" x14ac:dyDescent="0.25">
      <c r="A4" s="20" t="s">
        <v>56</v>
      </c>
      <c r="B4" s="21">
        <f>+B3*40%</f>
        <v>5121594049.1999998</v>
      </c>
    </row>
    <row r="5" spans="1:2" x14ac:dyDescent="0.25">
      <c r="A5" s="19" t="s">
        <v>57</v>
      </c>
      <c r="B5" s="18">
        <f>+'Proyección y Escenarios'!G15+'Proyección y Escenarios'!H15</f>
        <v>4337117071</v>
      </c>
    </row>
    <row r="6" spans="1:2" x14ac:dyDescent="0.25">
      <c r="A6" s="19" t="s">
        <v>58</v>
      </c>
      <c r="B6" s="18">
        <f>+B4-B5</f>
        <v>784476978.19999981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Menú-Resumen</vt:lpstr>
      <vt:lpstr>Proyección y Escenarios</vt:lpstr>
      <vt:lpstr>Sostenibilidad y P-E</vt:lpstr>
      <vt:lpstr>Ingresos y Costos</vt:lpstr>
      <vt:lpstr>Valoración Actual</vt:lpstr>
      <vt:lpstr>Valoracion PC (Equilibrio)</vt:lpstr>
      <vt:lpstr>Fondos ICETEX-Fiduciarias</vt:lpstr>
      <vt:lpstr>Riesgo por Industria</vt:lpstr>
      <vt:lpstr>SN SICAPITAL</vt:lpstr>
      <vt:lpstr>Beneficio institucional</vt:lpstr>
      <vt:lpstr>'Sostenibilidad y P-E'!betas</vt:lpstr>
      <vt:lpstr>'Valoracion PC (Equilibrio)'!betas</vt:lpstr>
      <vt:lpstr>betas</vt:lpstr>
      <vt:lpstr>'Valoracion PC (Equilibrio)'!RiesgoInversionista</vt:lpstr>
      <vt:lpstr>RiesgoInversionista</vt:lpstr>
      <vt:lpstr>'Riesgo por Industria'!Títulos_a_imprimir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usuario</cp:lastModifiedBy>
  <dcterms:created xsi:type="dcterms:W3CDTF">2020-05-22T16:10:00Z</dcterms:created>
  <dcterms:modified xsi:type="dcterms:W3CDTF">2021-07-10T00:29:27Z</dcterms:modified>
</cp:coreProperties>
</file>