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mic\PRIVADO\COMERCIAL\EVENTOS\EVENTOS 2018\57262 UNV FRANCISCO\"/>
    </mc:Choice>
  </mc:AlternateContent>
  <bookViews>
    <workbookView xWindow="0" yWindow="0" windowWidth="24000" windowHeight="9735" activeTab="3"/>
  </bookViews>
  <sheets>
    <sheet name="VR MO" sheetId="5" r:id="rId1"/>
    <sheet name="PERS-DCTO" sheetId="10" r:id="rId2"/>
    <sheet name="PERSONAL" sheetId="2" state="hidden" r:id="rId3"/>
    <sheet name="EJERC" sheetId="6" r:id="rId4"/>
    <sheet name="DOTACION" sheetId="8" r:id="rId5"/>
  </sheets>
  <externalReferences>
    <externalReference r:id="rId6"/>
    <externalReference r:id="rId7"/>
  </externalReferences>
  <definedNames>
    <definedName name="_xlnm.Print_Area" localSheetId="0">'VR MO'!$A$1:$M$47</definedName>
    <definedName name="PersonalTC">[1]Listas!$H$2:$H$12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6" l="1"/>
  <c r="E59" i="6" s="1"/>
  <c r="C20" i="6" l="1"/>
  <c r="Y43" i="5"/>
  <c r="Y44" i="5"/>
  <c r="E16" i="6" l="1"/>
  <c r="C18" i="6"/>
  <c r="E18" i="6" s="1"/>
  <c r="C17" i="6"/>
  <c r="E17" i="6" s="1"/>
  <c r="T46" i="5" l="1"/>
  <c r="X31" i="5"/>
  <c r="X11" i="5"/>
  <c r="C34" i="6"/>
  <c r="D9" i="6" l="1"/>
  <c r="D8" i="6"/>
  <c r="D7" i="6"/>
  <c r="D6" i="6"/>
  <c r="D5" i="6"/>
  <c r="C21" i="6" l="1"/>
  <c r="E21" i="6" s="1"/>
  <c r="E20" i="6"/>
  <c r="T47" i="5"/>
  <c r="U47" i="5" s="1"/>
  <c r="T48" i="5"/>
  <c r="U48" i="5" s="1"/>
  <c r="W48" i="5" s="1"/>
  <c r="U46" i="5"/>
  <c r="T17" i="5"/>
  <c r="T18" i="5"/>
  <c r="T16" i="5"/>
  <c r="U42" i="5"/>
  <c r="W42" i="5" s="1"/>
  <c r="T42" i="5"/>
  <c r="U41" i="5"/>
  <c r="W41" i="5" s="1"/>
  <c r="T41" i="5"/>
  <c r="T40" i="5"/>
  <c r="U40" i="5" s="1"/>
  <c r="W40" i="5" s="1"/>
  <c r="T39" i="5"/>
  <c r="U39" i="5" s="1"/>
  <c r="W39" i="5" s="1"/>
  <c r="C54" i="6"/>
  <c r="C53" i="6"/>
  <c r="E53" i="6" s="1"/>
  <c r="C52" i="6"/>
  <c r="E52" i="6" s="1"/>
  <c r="C51" i="6"/>
  <c r="E51" i="6" s="1"/>
  <c r="C50" i="6"/>
  <c r="E50" i="6" s="1"/>
  <c r="C49" i="6"/>
  <c r="E49" i="6" s="1"/>
  <c r="C48" i="6"/>
  <c r="E48" i="6" s="1"/>
  <c r="C47" i="6"/>
  <c r="E47" i="6" s="1"/>
  <c r="C46" i="6"/>
  <c r="E46" i="6" s="1"/>
  <c r="C45" i="6"/>
  <c r="E45" i="6" s="1"/>
  <c r="C44" i="6"/>
  <c r="E44" i="6" s="1"/>
  <c r="C43" i="6"/>
  <c r="E43" i="6" s="1"/>
  <c r="C42" i="6"/>
  <c r="E42" i="6" s="1"/>
  <c r="C41" i="6"/>
  <c r="E41" i="6" s="1"/>
  <c r="C40" i="6"/>
  <c r="C39" i="6"/>
  <c r="E39" i="6" s="1"/>
  <c r="C38" i="6"/>
  <c r="E38" i="6" s="1"/>
  <c r="C37" i="6"/>
  <c r="E37" i="6" s="1"/>
  <c r="C36" i="6"/>
  <c r="E36" i="6" s="1"/>
  <c r="C35" i="6"/>
  <c r="E35" i="6" s="1"/>
  <c r="E34" i="6"/>
  <c r="C33" i="6"/>
  <c r="E33" i="6" s="1"/>
  <c r="C32" i="6"/>
  <c r="E32" i="6" s="1"/>
  <c r="C31" i="6"/>
  <c r="E31" i="6" s="1"/>
  <c r="C30" i="6"/>
  <c r="E30" i="6" s="1"/>
  <c r="C29" i="6"/>
  <c r="E29" i="6" s="1"/>
  <c r="C28" i="6"/>
  <c r="E28" i="6" s="1"/>
  <c r="C27" i="6"/>
  <c r="E27" i="6" s="1"/>
  <c r="C26" i="6"/>
  <c r="E26" i="6" s="1"/>
  <c r="C25" i="6"/>
  <c r="E25" i="6" s="1"/>
  <c r="C24" i="6"/>
  <c r="E24" i="6" s="1"/>
  <c r="C23" i="6"/>
  <c r="E23" i="6" s="1"/>
  <c r="C22" i="6"/>
  <c r="E22" i="6" s="1"/>
  <c r="E54" i="6"/>
  <c r="E40" i="6"/>
  <c r="W43" i="5" l="1"/>
  <c r="C19" i="6" l="1"/>
  <c r="E19" i="6" s="1"/>
  <c r="N3" i="8" l="1"/>
  <c r="C15" i="8" l="1"/>
  <c r="D14" i="8"/>
  <c r="C14" i="8"/>
  <c r="D9" i="8"/>
  <c r="C9" i="8"/>
  <c r="D8" i="8"/>
  <c r="C7" i="8"/>
  <c r="D6" i="8"/>
  <c r="C6" i="8"/>
  <c r="C5" i="8"/>
  <c r="T11" i="5" l="1"/>
  <c r="G13" i="10" l="1"/>
  <c r="H13" i="10" s="1"/>
  <c r="G12" i="10"/>
  <c r="H12" i="10" s="1"/>
  <c r="G11" i="10"/>
  <c r="H11" i="10" s="1"/>
  <c r="G10" i="10"/>
  <c r="H10" i="10" s="1"/>
  <c r="G9" i="10"/>
  <c r="H9" i="10" s="1"/>
  <c r="G8" i="10"/>
  <c r="H8" i="10" s="1"/>
  <c r="G7" i="10"/>
  <c r="H7" i="10" s="1"/>
  <c r="G6" i="10"/>
  <c r="H6" i="10" s="1"/>
  <c r="G5" i="10"/>
  <c r="H5" i="10" s="1"/>
  <c r="I2" i="2" l="1"/>
  <c r="G8" i="8" l="1"/>
  <c r="F34" i="5"/>
  <c r="F25" i="5"/>
  <c r="F22" i="5"/>
  <c r="F9" i="5"/>
  <c r="F16" i="5" s="1"/>
  <c r="H9" i="5"/>
  <c r="H27" i="5" s="1"/>
  <c r="H16" i="5" l="1"/>
  <c r="H24" i="5"/>
  <c r="H26" i="5"/>
  <c r="H28" i="5"/>
  <c r="H34" i="5"/>
  <c r="H35" i="5" s="1"/>
  <c r="H11" i="5"/>
  <c r="H22" i="5"/>
  <c r="H25" i="5"/>
  <c r="H17" i="5" l="1"/>
  <c r="H15" i="5"/>
  <c r="H14" i="5"/>
  <c r="H29" i="5"/>
  <c r="M4" i="2"/>
  <c r="O4" i="2" s="1"/>
  <c r="P4" i="2"/>
  <c r="K4" i="2"/>
  <c r="N4" i="2"/>
  <c r="K5" i="2"/>
  <c r="H18" i="5" l="1"/>
  <c r="D10" i="5"/>
  <c r="I9" i="5"/>
  <c r="J9" i="5"/>
  <c r="K9" i="5"/>
  <c r="L9" i="5"/>
  <c r="M9" i="5"/>
  <c r="G9" i="5"/>
  <c r="E9" i="5"/>
  <c r="T9" i="5" l="1"/>
  <c r="N21" i="8"/>
  <c r="U11" i="5" l="1"/>
  <c r="F27" i="5" l="1"/>
  <c r="K7" i="2"/>
  <c r="F24" i="5" l="1"/>
  <c r="F28" i="5"/>
  <c r="F11" i="5"/>
  <c r="F26" i="5"/>
  <c r="F35" i="5"/>
  <c r="F14" i="5" l="1"/>
  <c r="F15" i="5"/>
  <c r="F17" i="5"/>
  <c r="F29" i="5"/>
  <c r="F18" i="5" l="1"/>
  <c r="Q22" i="8" l="1"/>
  <c r="D12" i="8"/>
  <c r="C12" i="8"/>
  <c r="D11" i="8"/>
  <c r="C11" i="8"/>
  <c r="D10" i="8"/>
  <c r="C10" i="8"/>
  <c r="D4" i="8"/>
  <c r="C4" i="8"/>
  <c r="J5" i="8" l="1"/>
  <c r="K5" i="8"/>
  <c r="L5" i="8" s="1"/>
  <c r="J14" i="8"/>
  <c r="I14" i="8"/>
  <c r="K14" i="8"/>
  <c r="G14" i="8"/>
  <c r="L14" i="8"/>
  <c r="H14" i="8"/>
  <c r="G4" i="8"/>
  <c r="I4" i="8"/>
  <c r="H4" i="8"/>
  <c r="J7" i="8"/>
  <c r="L7" i="8"/>
  <c r="K7" i="8"/>
  <c r="I5" i="8"/>
  <c r="H5" i="8"/>
  <c r="K15" i="8"/>
  <c r="J15" i="8"/>
  <c r="L15" i="8"/>
  <c r="M15" i="8"/>
  <c r="K4" i="8"/>
  <c r="L4" i="8"/>
  <c r="J4" i="8"/>
  <c r="M4" i="8"/>
  <c r="G6" i="8"/>
  <c r="H6" i="8"/>
  <c r="I6" i="8"/>
  <c r="C13" i="8"/>
  <c r="D13" i="8"/>
  <c r="K18" i="8" l="1"/>
  <c r="K20" i="8" s="1"/>
  <c r="H18" i="8"/>
  <c r="H20" i="8" s="1"/>
  <c r="L18" i="8"/>
  <c r="L20" i="8" s="1"/>
  <c r="G18" i="8"/>
  <c r="G20" i="8" s="1"/>
  <c r="I18" i="8"/>
  <c r="I20" i="8" s="1"/>
  <c r="M18" i="8"/>
  <c r="M20" i="8" s="1"/>
  <c r="J18" i="8"/>
  <c r="J20" i="8" s="1"/>
  <c r="N20" i="8" l="1"/>
  <c r="N22" i="8" s="1"/>
  <c r="N25" i="8" s="1"/>
  <c r="U17" i="5"/>
  <c r="H37" i="5" l="1"/>
  <c r="H39" i="5" s="1"/>
  <c r="H43" i="5" s="1"/>
  <c r="H44" i="5" s="1"/>
  <c r="H45" i="5" s="1"/>
  <c r="E5" i="6" s="1"/>
  <c r="G5" i="6" s="1"/>
  <c r="K37" i="5"/>
  <c r="L37" i="5" s="1"/>
  <c r="M37" i="5" s="1"/>
  <c r="G37" i="5"/>
  <c r="E37" i="5"/>
  <c r="J37" i="5"/>
  <c r="F37" i="5"/>
  <c r="F39" i="5" s="1"/>
  <c r="F43" i="5" s="1"/>
  <c r="F44" i="5" s="1"/>
  <c r="F45" i="5" s="1"/>
  <c r="I37" i="5"/>
  <c r="R28" i="5"/>
  <c r="R27" i="5"/>
  <c r="V17" i="5" l="1"/>
  <c r="V47" i="5"/>
  <c r="W47" i="5" s="1"/>
  <c r="M5" i="2"/>
  <c r="M6" i="2"/>
  <c r="O6" i="2" s="1"/>
  <c r="M7" i="2"/>
  <c r="O7" i="2" s="1"/>
  <c r="P7" i="2" s="1"/>
  <c r="M8" i="2"/>
  <c r="O8" i="2" s="1"/>
  <c r="M9" i="2"/>
  <c r="O9" i="2" s="1"/>
  <c r="M10" i="2"/>
  <c r="O10" i="2" s="1"/>
  <c r="M11" i="2"/>
  <c r="O11" i="2" s="1"/>
  <c r="M12" i="2"/>
  <c r="O12" i="2" s="1"/>
  <c r="M13" i="2"/>
  <c r="O13" i="2" s="1"/>
  <c r="M14" i="2"/>
  <c r="O14" i="2" s="1"/>
  <c r="M15" i="2"/>
  <c r="O15" i="2" s="1"/>
  <c r="O5" i="2" l="1"/>
  <c r="P5" i="2" s="1"/>
  <c r="N5" i="2"/>
  <c r="K6" i="2"/>
  <c r="N6" i="2" s="1"/>
  <c r="N7" i="2"/>
  <c r="K8" i="2"/>
  <c r="N8" i="2" s="1"/>
  <c r="K9" i="2"/>
  <c r="N9" i="2" s="1"/>
  <c r="K10" i="2"/>
  <c r="N10" i="2" s="1"/>
  <c r="K11" i="2"/>
  <c r="N11" i="2" s="1"/>
  <c r="K12" i="2"/>
  <c r="N12" i="2" s="1"/>
  <c r="K13" i="2"/>
  <c r="N13" i="2" s="1"/>
  <c r="K14" i="2"/>
  <c r="N14" i="2" s="1"/>
  <c r="K15" i="2"/>
  <c r="N15" i="2" s="1"/>
  <c r="P6" i="2" l="1"/>
  <c r="P12" i="2"/>
  <c r="P13" i="2"/>
  <c r="P8" i="2"/>
  <c r="P14" i="2"/>
  <c r="P10" i="2"/>
  <c r="P9" i="2"/>
  <c r="P15" i="2"/>
  <c r="P11" i="2"/>
  <c r="F16" i="2"/>
  <c r="J7" i="2" l="1"/>
  <c r="J10" i="2"/>
  <c r="K22" i="5"/>
  <c r="J26" i="5"/>
  <c r="I26" i="5"/>
  <c r="G16" i="5"/>
  <c r="E22" i="5"/>
  <c r="E25" i="5"/>
  <c r="D35" i="5"/>
  <c r="R29" i="5"/>
  <c r="D29" i="5"/>
  <c r="Q23" i="5"/>
  <c r="U16" i="5"/>
  <c r="U18" i="5"/>
  <c r="W18" i="5" s="1"/>
  <c r="D18" i="5"/>
  <c r="U9" i="5"/>
  <c r="W9" i="5" s="1"/>
  <c r="T10" i="5"/>
  <c r="U10" i="5" s="1"/>
  <c r="W10" i="5" s="1"/>
  <c r="T12" i="5"/>
  <c r="U12" i="5" s="1"/>
  <c r="W12" i="5" s="1"/>
  <c r="J4" i="2"/>
  <c r="J15" i="2"/>
  <c r="J5" i="2"/>
  <c r="J6" i="2"/>
  <c r="J8" i="2"/>
  <c r="J9" i="2"/>
  <c r="J11" i="2"/>
  <c r="J12" i="2"/>
  <c r="J13" i="2"/>
  <c r="J14" i="2"/>
  <c r="G4" i="2"/>
  <c r="G13" i="2"/>
  <c r="G9" i="2"/>
  <c r="G5" i="2"/>
  <c r="G14" i="2"/>
  <c r="G10" i="2"/>
  <c r="G6" i="2"/>
  <c r="G15" i="2"/>
  <c r="G11" i="2"/>
  <c r="G7" i="2"/>
  <c r="G12" i="2"/>
  <c r="G8" i="2"/>
  <c r="V16" i="5" l="1"/>
  <c r="V46" i="5"/>
  <c r="W46" i="5" s="1"/>
  <c r="W49" i="5" s="1"/>
  <c r="X33" i="5" s="1"/>
  <c r="X35" i="5" s="1"/>
  <c r="X37" i="5" s="1"/>
  <c r="W16" i="5"/>
  <c r="W19" i="5" s="1"/>
  <c r="W17" i="5"/>
  <c r="E27" i="5"/>
  <c r="G34" i="5"/>
  <c r="G35" i="5" s="1"/>
  <c r="G25" i="5"/>
  <c r="W11" i="5"/>
  <c r="G28" i="5"/>
  <c r="G24" i="5"/>
  <c r="I22" i="5"/>
  <c r="J16" i="2"/>
  <c r="G27" i="5"/>
  <c r="G22" i="5"/>
  <c r="G26" i="5"/>
  <c r="J27" i="5"/>
  <c r="K28" i="5"/>
  <c r="K24" i="5"/>
  <c r="I27" i="5"/>
  <c r="K26" i="5"/>
  <c r="K16" i="5"/>
  <c r="K34" i="5"/>
  <c r="K35" i="5" s="1"/>
  <c r="K25" i="5"/>
  <c r="K27" i="5"/>
  <c r="J22" i="5"/>
  <c r="G11" i="5"/>
  <c r="I25" i="5"/>
  <c r="J25" i="5"/>
  <c r="K11" i="5"/>
  <c r="I28" i="5"/>
  <c r="I24" i="5"/>
  <c r="I16" i="5"/>
  <c r="I11" i="5"/>
  <c r="J28" i="5"/>
  <c r="J24" i="5"/>
  <c r="J16" i="5"/>
  <c r="J11" i="5"/>
  <c r="I34" i="5"/>
  <c r="I35" i="5" s="1"/>
  <c r="J34" i="5"/>
  <c r="J35" i="5" s="1"/>
  <c r="M22" i="5"/>
  <c r="L22" i="5"/>
  <c r="E34" i="5"/>
  <c r="E35" i="5" s="1"/>
  <c r="E26" i="5"/>
  <c r="E11" i="5"/>
  <c r="E28" i="5"/>
  <c r="E24" i="5"/>
  <c r="E16" i="5"/>
  <c r="W13" i="5" l="1"/>
  <c r="I29" i="5"/>
  <c r="G29" i="5"/>
  <c r="K29" i="5"/>
  <c r="M25" i="5"/>
  <c r="M16" i="5"/>
  <c r="L25" i="5"/>
  <c r="L16" i="5"/>
  <c r="M11" i="5"/>
  <c r="M15" i="5" s="1"/>
  <c r="L34" i="5"/>
  <c r="L35" i="5" s="1"/>
  <c r="J14" i="5"/>
  <c r="J15" i="5"/>
  <c r="J17" i="5"/>
  <c r="K17" i="5"/>
  <c r="K15" i="5"/>
  <c r="K14" i="5"/>
  <c r="G17" i="5"/>
  <c r="G15" i="5"/>
  <c r="G14" i="5"/>
  <c r="I14" i="5"/>
  <c r="I15" i="5"/>
  <c r="I17" i="5"/>
  <c r="J29" i="5"/>
  <c r="L11" i="5"/>
  <c r="L26" i="5"/>
  <c r="L28" i="5"/>
  <c r="L27" i="5"/>
  <c r="M34" i="5"/>
  <c r="M35" i="5" s="1"/>
  <c r="M28" i="5"/>
  <c r="M27" i="5"/>
  <c r="L24" i="5"/>
  <c r="M26" i="5"/>
  <c r="M24" i="5"/>
  <c r="E29" i="5"/>
  <c r="E17" i="5"/>
  <c r="E14" i="5"/>
  <c r="E15" i="5"/>
  <c r="X13" i="5" l="1"/>
  <c r="M14" i="5"/>
  <c r="M17" i="5"/>
  <c r="I18" i="5"/>
  <c r="I39" i="5" s="1"/>
  <c r="I43" i="5" s="1"/>
  <c r="K18" i="5"/>
  <c r="K39" i="5" s="1"/>
  <c r="K43" i="5" s="1"/>
  <c r="M29" i="5"/>
  <c r="L29" i="5"/>
  <c r="G18" i="5"/>
  <c r="G39" i="5" s="1"/>
  <c r="G43" i="5" s="1"/>
  <c r="J18" i="5"/>
  <c r="J39" i="5" s="1"/>
  <c r="J43" i="5" s="1"/>
  <c r="L14" i="5"/>
  <c r="L15" i="5"/>
  <c r="L17" i="5"/>
  <c r="E18" i="5"/>
  <c r="X15" i="5" l="1"/>
  <c r="X17" i="5" s="1"/>
  <c r="M18" i="5"/>
  <c r="M39" i="5" s="1"/>
  <c r="M43" i="5" s="1"/>
  <c r="M44" i="5" s="1"/>
  <c r="M45" i="5" s="1"/>
  <c r="E8" i="6" s="1"/>
  <c r="G8" i="6" s="1"/>
  <c r="K44" i="5"/>
  <c r="K45" i="5" s="1"/>
  <c r="E9" i="6" s="1"/>
  <c r="G9" i="6" s="1"/>
  <c r="I44" i="5"/>
  <c r="I45" i="5" s="1"/>
  <c r="E6" i="6" s="1"/>
  <c r="G6" i="6" s="1"/>
  <c r="J44" i="5"/>
  <c r="J45" i="5" s="1"/>
  <c r="G44" i="5"/>
  <c r="G45" i="5" s="1"/>
  <c r="L18" i="5"/>
  <c r="L39" i="5" s="1"/>
  <c r="L43" i="5" s="1"/>
  <c r="E39" i="5"/>
  <c r="E43" i="5" s="1"/>
  <c r="E44" i="5" s="1"/>
  <c r="N45" i="5"/>
  <c r="D39" i="5" s="1"/>
  <c r="L44" i="5" l="1"/>
  <c r="L45" i="5" s="1"/>
  <c r="E7" i="6" s="1"/>
  <c r="G7" i="6" s="1"/>
  <c r="N44" i="5"/>
  <c r="O44" i="5" s="1"/>
  <c r="E45" i="5" l="1"/>
  <c r="D4" i="6" s="1"/>
  <c r="E4" i="6" l="1"/>
  <c r="G4" i="6" l="1"/>
  <c r="G11" i="6" s="1"/>
  <c r="E60" i="6" s="1"/>
  <c r="I17" i="6" l="1"/>
  <c r="I19" i="6" l="1"/>
  <c r="I18" i="6"/>
</calcChain>
</file>

<file path=xl/comments1.xml><?xml version="1.0" encoding="utf-8"?>
<comments xmlns="http://schemas.openxmlformats.org/spreadsheetml/2006/main">
  <authors>
    <author>JENNY RAMIREZ</author>
    <author>Jenny Ramirez</author>
  </authors>
  <commentList>
    <comment ref="Q6" authorId="0" shapeId="0">
      <text>
        <r>
          <rPr>
            <b/>
            <sz val="9"/>
            <color indexed="81"/>
            <rFont val="Tahoma"/>
            <family val="2"/>
          </rPr>
          <t>30 DÍAS X 8 HORAS DÍA: 240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HACEN PARTE DE LA BASE PARA LIQUIDAR SEGURIDAD SOCIAL, PRESTACIONES SOCIALES Y PARAFISCALES.</t>
        </r>
      </text>
    </comment>
    <comment ref="B8" authorId="0" shapeId="0">
      <text>
        <r>
          <rPr>
            <sz val="8"/>
            <color indexed="81"/>
            <rFont val="Tahoma"/>
            <family val="2"/>
          </rPr>
          <t>HACEN PARTE DE LA BASE PARA LIQUIDAR SEGURIDAD SOCIAL, PRESTACIONS SOCIALES Y PARAFISCALES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>Art. 128 CST establece lo que constituye salario</t>
        </r>
      </text>
    </comment>
    <comment ref="P10" authorId="1" shapeId="0">
      <text>
        <r>
          <rPr>
            <b/>
            <sz val="9"/>
            <color indexed="81"/>
            <rFont val="Tahoma"/>
            <family val="2"/>
          </rPr>
          <t>Jenny Ramirez:</t>
        </r>
        <r>
          <rPr>
            <sz val="9"/>
            <color indexed="81"/>
            <rFont val="Tahoma"/>
            <family val="2"/>
          </rPr>
          <t xml:space="preserve">
Nocturna: Entre las 10 de la noche y las 6 de la mañana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>RECARGO H. EXTRA 25%+ RECARGO DOMINGO / FEST 75%</t>
        </r>
      </text>
    </comment>
    <comment ref="P12" authorId="0" shapeId="0">
      <text>
        <r>
          <rPr>
            <b/>
            <sz val="9"/>
            <color indexed="81"/>
            <rFont val="Tahoma"/>
            <family val="2"/>
          </rPr>
          <t>RECARGO NOC 75% + RECARGO DOM 75%</t>
        </r>
      </text>
    </comment>
    <comment ref="B16" authorId="0" shapeId="0">
      <text>
        <r>
          <rPr>
            <sz val="9"/>
            <color indexed="81"/>
            <rFont val="Tahoma"/>
            <family val="2"/>
          </rPr>
          <t>las Vacaciones se toman con el basico y solamente se promedian los recargos nocturnos cuando los hay para efectos de liquidación.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OPC 4,17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</rPr>
          <t>RECARGO DOM 75% + RECARGO NOC 35%</t>
        </r>
      </text>
    </comment>
    <comment ref="D26" authorId="0" shapeId="0">
      <text>
        <r>
          <rPr>
            <sz val="9"/>
            <color indexed="81"/>
            <rFont val="Tahoma"/>
            <family val="2"/>
          </rPr>
          <t>Decreto 1772 de 199</t>
        </r>
        <r>
          <rPr>
            <b/>
            <sz val="9"/>
            <color indexed="81"/>
            <rFont val="Tahoma"/>
            <family val="2"/>
          </rPr>
          <t xml:space="preserve">4 </t>
        </r>
        <r>
          <rPr>
            <sz val="9"/>
            <color indexed="81"/>
            <rFont val="Tahoma"/>
            <family val="2"/>
          </rPr>
          <t>Art. 13 para el serv Hospitalario el riesgo se ubica en una tarifa entre el 2,436% y 4,089%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</rPr>
          <t>30 DÍAS X 8 HORAS DÍA: 240</t>
        </r>
      </text>
    </comment>
    <comment ref="D39" authorId="1" shapeId="0">
      <text>
        <r>
          <rPr>
            <b/>
            <sz val="9"/>
            <color indexed="81"/>
            <rFont val="Tahoma"/>
            <family val="2"/>
          </rPr>
          <t>Jenny Ramirez:</t>
        </r>
        <r>
          <rPr>
            <sz val="9"/>
            <color indexed="81"/>
            <rFont val="Tahoma"/>
            <family val="2"/>
          </rPr>
          <t xml:space="preserve">
Cambia por cada perfil con un básico diferente.</t>
        </r>
      </text>
    </comment>
    <comment ref="P40" authorId="1" shapeId="0">
      <text>
        <r>
          <rPr>
            <b/>
            <sz val="9"/>
            <color indexed="81"/>
            <rFont val="Tahoma"/>
            <family val="2"/>
          </rPr>
          <t>Jenny Ramirez:</t>
        </r>
        <r>
          <rPr>
            <sz val="9"/>
            <color indexed="81"/>
            <rFont val="Tahoma"/>
            <family val="2"/>
          </rPr>
          <t xml:space="preserve">
Nocturna: Entre las 10 de la noche y las 6 de la mañana</t>
        </r>
      </text>
    </comment>
    <comment ref="E41" authorId="1" shapeId="0">
      <text>
        <r>
          <rPr>
            <b/>
            <sz val="9"/>
            <color indexed="81"/>
            <rFont val="Tahoma"/>
            <family val="2"/>
          </rPr>
          <t>Jenny Ramirez:</t>
        </r>
        <r>
          <rPr>
            <sz val="9"/>
            <color indexed="81"/>
            <rFont val="Tahoma"/>
            <family val="2"/>
          </rPr>
          <t xml:space="preserve">
1- Servicio integral de aseo y cafetería.
2- Servicio de aseo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Jenny Ramirez:</t>
        </r>
        <r>
          <rPr>
            <sz val="9"/>
            <color indexed="81"/>
            <rFont val="Tahoma"/>
            <family val="2"/>
          </rPr>
          <t xml:space="preserve">
1- Servicio integral de aseo y cafetería.
2- Servicio de aseo</t>
        </r>
      </text>
    </comment>
    <comment ref="P41" authorId="0" shapeId="0">
      <text>
        <r>
          <rPr>
            <b/>
            <sz val="9"/>
            <color indexed="81"/>
            <rFont val="Tahoma"/>
            <family val="2"/>
          </rPr>
          <t>RECARGO H. EXTRA 25%+ RECARGO DOMINGO / FEST 75%</t>
        </r>
      </text>
    </comment>
    <comment ref="P42" authorId="0" shapeId="0">
      <text>
        <r>
          <rPr>
            <b/>
            <sz val="9"/>
            <color indexed="81"/>
            <rFont val="Tahoma"/>
            <family val="2"/>
          </rPr>
          <t>RECARGO NOC 75% + RECARGO DOM 75%</t>
        </r>
      </text>
    </comment>
    <comment ref="P48" authorId="0" shapeId="0">
      <text>
        <r>
          <rPr>
            <b/>
            <sz val="9"/>
            <color indexed="81"/>
            <rFont val="Tahoma"/>
            <family val="2"/>
          </rPr>
          <t>RECARGO DOM 75% + RECARGO NOC 35%</t>
        </r>
      </text>
    </comment>
  </commentList>
</comments>
</file>

<file path=xl/sharedStrings.xml><?xml version="1.0" encoding="utf-8"?>
<sst xmlns="http://schemas.openxmlformats.org/spreadsheetml/2006/main" count="228" uniqueCount="158">
  <si>
    <t>AIU</t>
  </si>
  <si>
    <t>Minimo</t>
  </si>
  <si>
    <t>Maximo</t>
  </si>
  <si>
    <t>Perfil</t>
  </si>
  <si>
    <t>PUNTOS</t>
  </si>
  <si>
    <t>VALOR OFRECIDO</t>
  </si>
  <si>
    <t>%</t>
  </si>
  <si>
    <t>Operario de aseo y cafetería</t>
  </si>
  <si>
    <t>Operario de mantenimiento</t>
  </si>
  <si>
    <t>Operario auxiliar</t>
  </si>
  <si>
    <t>Coordinador de tiempo completo</t>
  </si>
  <si>
    <t>Jardinero</t>
  </si>
  <si>
    <t>Operario de mantenimiento capacitado para trabajo en alturas nivel básico</t>
  </si>
  <si>
    <t>Operario auxiliar capacitado para trabajo en alturas nivel básico</t>
  </si>
  <si>
    <t>Jardinero capacitado para trabajo en alturas nivel básico</t>
  </si>
  <si>
    <t xml:space="preserve">Coordinador de trabajo en alturas nivel básico </t>
  </si>
  <si>
    <t>Turno operario de mantenimiento</t>
  </si>
  <si>
    <t>Turno operario de mantenimiento capacitado para trabajo en alturas nivel básico</t>
  </si>
  <si>
    <t>Turno coordinador de trabajo en alturas nivel básico</t>
  </si>
  <si>
    <t>TIEMPO COMPLETO</t>
  </si>
  <si>
    <t>Fuente: Cartilla laboral legis</t>
  </si>
  <si>
    <t>OPERARIO ASEO</t>
  </si>
  <si>
    <t>JARDINERO</t>
  </si>
  <si>
    <t>JARDINERO TA</t>
  </si>
  <si>
    <t>BASICO</t>
  </si>
  <si>
    <t>HORAS MES</t>
  </si>
  <si>
    <t>H. EXTRAS</t>
  </si>
  <si>
    <t>RECARGOS</t>
  </si>
  <si>
    <t>HORAS EXTRAS</t>
  </si>
  <si>
    <t>FACTOR</t>
  </si>
  <si>
    <t>VR. HORA</t>
  </si>
  <si>
    <t>SUB TOTAL</t>
  </si>
  <si>
    <t>Q. HORAS</t>
  </si>
  <si>
    <t>TOTAL</t>
  </si>
  <si>
    <t>SUB TOTAL SALARIO</t>
  </si>
  <si>
    <t>HORA EXTRA DIURNA</t>
  </si>
  <si>
    <t>SUB. TRANSPORTE</t>
  </si>
  <si>
    <t>HORA EXTRA NOCTURNA</t>
  </si>
  <si>
    <t>TOTAL SALARIO</t>
  </si>
  <si>
    <t>HORA EXTRA DIURNA DOM Y/O FESTIVO</t>
  </si>
  <si>
    <t>HORA EXTRA NOCTURNA DOMINICAL</t>
  </si>
  <si>
    <t>PRESTACIONES SOCIALES</t>
  </si>
  <si>
    <t>TOTAL HORAS EXTRAS</t>
  </si>
  <si>
    <t>CESANTIAS</t>
  </si>
  <si>
    <t>PRIMA DE SERVICIOS</t>
  </si>
  <si>
    <t>VACACIONES</t>
  </si>
  <si>
    <t>RECARGO NOCTURNO</t>
  </si>
  <si>
    <t>INTERES CESANTÍAS</t>
  </si>
  <si>
    <t>RECARGO DOM Y/O FEST</t>
  </si>
  <si>
    <t>TOTAL PRESTACIONES SOCIALES</t>
  </si>
  <si>
    <t>HORA DOMINICAL O FEST NOCTURNA</t>
  </si>
  <si>
    <t xml:space="preserve"> </t>
  </si>
  <si>
    <t>TOTAL RECARGOS</t>
  </si>
  <si>
    <t>SEGURIDAD SOCIAL</t>
  </si>
  <si>
    <t>SALUD</t>
  </si>
  <si>
    <t>PENSIÓN</t>
  </si>
  <si>
    <t>CANTIDAD DE SEMANAS AÑO 2016</t>
  </si>
  <si>
    <t>TIPO DE RIESGO</t>
  </si>
  <si>
    <t>SEMANAS PROMEDIO DE UN MES</t>
  </si>
  <si>
    <t>ARL</t>
  </si>
  <si>
    <t>FACTOR DOMINGOS Y FESTIVOS</t>
  </si>
  <si>
    <t>PROM. SEM</t>
  </si>
  <si>
    <t>DOMINGOS EN EL AÑO</t>
  </si>
  <si>
    <t>FESTIVOS EN EL AÑO</t>
  </si>
  <si>
    <t>TOTAL SEGURIDAD SOCIAL</t>
  </si>
  <si>
    <t>PARAFISCALES</t>
  </si>
  <si>
    <t>ICBF</t>
  </si>
  <si>
    <t>SENA</t>
  </si>
  <si>
    <t>CAJA DE COMP FAM -CCF</t>
  </si>
  <si>
    <t xml:space="preserve">TOTAL PARAFISCALES </t>
  </si>
  <si>
    <t>DOTACIÓN</t>
  </si>
  <si>
    <t>TOTAL CARGA PRESTACIONAL</t>
  </si>
  <si>
    <t xml:space="preserve">TIPO </t>
  </si>
  <si>
    <t>COSTO TOTAL</t>
  </si>
  <si>
    <t>TOTAL OPERARIO MES</t>
  </si>
  <si>
    <t>P.C.C.</t>
  </si>
  <si>
    <t>COSTO</t>
  </si>
  <si>
    <t>DIF</t>
  </si>
  <si>
    <t>CANT</t>
  </si>
  <si>
    <t>P.I.</t>
  </si>
  <si>
    <t>P.F.</t>
  </si>
  <si>
    <t>MESES</t>
  </si>
  <si>
    <t>FACT PREST</t>
  </si>
  <si>
    <t>MES HORAS EXTRAS FEST Y/O DOMINC</t>
  </si>
  <si>
    <t>MENOR VALOR</t>
  </si>
  <si>
    <t>LADOINSA</t>
  </si>
  <si>
    <t>DIFERENCIA</t>
  </si>
  <si>
    <t>EMPLEADO</t>
  </si>
  <si>
    <t xml:space="preserve">OP MTTO </t>
  </si>
  <si>
    <t>HOMBRE</t>
  </si>
  <si>
    <t>MUJER</t>
  </si>
  <si>
    <t>CAMISA Y PANTALON</t>
  </si>
  <si>
    <t>ZAPATOS</t>
  </si>
  <si>
    <t>COFIA</t>
  </si>
  <si>
    <t>CACHUCHA</t>
  </si>
  <si>
    <t>1 VEZ</t>
  </si>
  <si>
    <t xml:space="preserve">DELANTAL </t>
  </si>
  <si>
    <t xml:space="preserve">DONDE HAY </t>
  </si>
  <si>
    <t>MONOGAFAS</t>
  </si>
  <si>
    <t>GUANTES NEGROS</t>
  </si>
  <si>
    <t>GUANTES ROJOS</t>
  </si>
  <si>
    <t>BIMENSUAL</t>
  </si>
  <si>
    <t>GUANTES AMARILLOS</t>
  </si>
  <si>
    <t>BOTAS DE CAUCHO</t>
  </si>
  <si>
    <t>BOTAS PUNTA DE ACERO</t>
  </si>
  <si>
    <t>TOTAL DOTACION MES</t>
  </si>
  <si>
    <t>N. PERS</t>
  </si>
  <si>
    <t>VR DOTACION</t>
  </si>
  <si>
    <t>ENTREGAS</t>
  </si>
  <si>
    <t xml:space="preserve">PLAZO </t>
  </si>
  <si>
    <t>VR MES</t>
  </si>
  <si>
    <t>OP MTTO  TA</t>
  </si>
  <si>
    <t xml:space="preserve">COORD TC </t>
  </si>
  <si>
    <t>TAPABOCAS</t>
  </si>
  <si>
    <t>OPER ASEO Y CAFETERIA</t>
  </si>
  <si>
    <t>COORDI TC</t>
  </si>
  <si>
    <t>ASEO 1/2 TIEMP</t>
  </si>
  <si>
    <t>PERFIL</t>
  </si>
  <si>
    <t>OBSERVACIONES</t>
  </si>
  <si>
    <t>TECHO</t>
  </si>
  <si>
    <t>MINIMOS</t>
  </si>
  <si>
    <t>OP AUX TA</t>
  </si>
  <si>
    <t xml:space="preserve">OP AUX </t>
  </si>
  <si>
    <t>OPERARIO DE ASEO</t>
  </si>
  <si>
    <t>OPERARIO DE CAFETERIA</t>
  </si>
  <si>
    <t xml:space="preserve">OPERARIO AUX </t>
  </si>
  <si>
    <t>GUANTES EN EL EVENTO</t>
  </si>
  <si>
    <t>ENTREGAS DOTACION</t>
  </si>
  <si>
    <t>DCTO</t>
  </si>
  <si>
    <t>No.</t>
  </si>
  <si>
    <t xml:space="preserve">OPE MTO </t>
  </si>
  <si>
    <t>cepillo</t>
  </si>
  <si>
    <t>churrusco</t>
  </si>
  <si>
    <t>pad</t>
  </si>
  <si>
    <t>boneth</t>
  </si>
  <si>
    <t>termo</t>
  </si>
  <si>
    <t>jarra</t>
  </si>
  <si>
    <t>valvula</t>
  </si>
  <si>
    <t>baldes</t>
  </si>
  <si>
    <t>brillador</t>
  </si>
  <si>
    <t>rpto brillador</t>
  </si>
  <si>
    <t>plumero</t>
  </si>
  <si>
    <t>rastrillo</t>
  </si>
  <si>
    <t>recogedor</t>
  </si>
  <si>
    <t>chupa</t>
  </si>
  <si>
    <t>vasos</t>
  </si>
  <si>
    <t xml:space="preserve">pocillo </t>
  </si>
  <si>
    <t>cubierto</t>
  </si>
  <si>
    <t>terno</t>
  </si>
  <si>
    <t>cuchillo</t>
  </si>
  <si>
    <t>tijeras</t>
  </si>
  <si>
    <t>fumigacion</t>
  </si>
  <si>
    <t>operario de aseo recargo nocturno</t>
  </si>
  <si>
    <t>herramienta</t>
  </si>
  <si>
    <t>horas de recargo nocturno  CONVENIO</t>
  </si>
  <si>
    <t>MAQUINARIA</t>
  </si>
  <si>
    <t>OPERARIO AUXILIAR</t>
  </si>
  <si>
    <t>imprevistos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</si>
</sst>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-&quot;$&quot;* #,##0_-;\-&quot;$&quot;* #,##0_-;_-&quot;$&quot;* &quot;-&quot;_-;_-@_-"/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%"/>
    <numFmt numFmtId="166" formatCode="#,##0\ _€"/>
    <numFmt numFmtId="167" formatCode="#,##0.00\ _€"/>
    <numFmt numFmtId="168" formatCode="#,##0.000\ _€"/>
    <numFmt numFmtId="169" formatCode="0.0%"/>
    <numFmt numFmtId="170" formatCode="0.00000000000000%"/>
    <numFmt numFmtId="171" formatCode="_(&quot;$&quot;\ * #,##0_);_(&quot;$&quot;\ * \(#,##0\);_(&quot;$&quot;\ * &quot;-&quot;??_);_(@_)"/>
    <numFmt numFmtId="172" formatCode="_(&quot;$&quot;* #,##0.00_);_(&quot;$&quot;* \(#,##0.00\);_(&quot;$&quot;* &quot;-&quot;??_);_(@_)"/>
    <numFmt numFmtId="173" formatCode="_-[$$-240A]\ * #,##0_-;\-[$$-240A]\ * #,##0_-;_-[$$-240A]\ * &quot;-&quot;_-;_-@_-"/>
    <numFmt numFmtId="174" formatCode="#,##0.0"/>
    <numFmt numFmtId="175" formatCode="#,##0;[Red]#,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10"/>
      <name val="Verdana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Arial"/>
      <family val="2"/>
    </font>
    <font>
      <b/>
      <sz val="18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5" fillId="9" borderId="0">
      <alignment horizontal="center" vertical="center" wrapText="1"/>
    </xf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2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3" fontId="0" fillId="0" borderId="0" xfId="0" applyNumberFormat="1"/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 applyProtection="1">
      <alignment vertical="center" wrapText="1"/>
    </xf>
    <xf numFmtId="3" fontId="0" fillId="0" borderId="0" xfId="0" applyNumberFormat="1" applyAlignment="1">
      <alignment wrapText="1"/>
    </xf>
    <xf numFmtId="2" fontId="0" fillId="4" borderId="0" xfId="0" applyNumberFormat="1" applyFill="1" applyAlignment="1">
      <alignment horizontal="center"/>
    </xf>
    <xf numFmtId="0" fontId="5" fillId="0" borderId="0" xfId="0" applyFont="1"/>
    <xf numFmtId="0" fontId="4" fillId="2" borderId="0" xfId="0" applyFont="1" applyFill="1"/>
    <xf numFmtId="166" fontId="5" fillId="0" borderId="0" xfId="0" applyNumberFormat="1" applyFont="1"/>
    <xf numFmtId="166" fontId="6" fillId="0" borderId="0" xfId="0" applyNumberFormat="1" applyFont="1" applyAlignment="1">
      <alignment horizontal="center"/>
    </xf>
    <xf numFmtId="167" fontId="5" fillId="0" borderId="0" xfId="0" applyNumberFormat="1" applyFont="1"/>
    <xf numFmtId="10" fontId="5" fillId="0" borderId="0" xfId="1" applyNumberFormat="1" applyFont="1"/>
    <xf numFmtId="166" fontId="7" fillId="4" borderId="0" xfId="0" applyNumberFormat="1" applyFont="1" applyFill="1" applyBorder="1"/>
    <xf numFmtId="0" fontId="7" fillId="0" borderId="0" xfId="0" applyFont="1" applyAlignment="1">
      <alignment horizontal="center"/>
    </xf>
    <xf numFmtId="0" fontId="7" fillId="5" borderId="4" xfId="0" applyFont="1" applyFill="1" applyBorder="1"/>
    <xf numFmtId="0" fontId="7" fillId="5" borderId="5" xfId="0" applyFont="1" applyFill="1" applyBorder="1"/>
    <xf numFmtId="166" fontId="7" fillId="5" borderId="6" xfId="0" applyNumberFormat="1" applyFont="1" applyFill="1" applyBorder="1"/>
    <xf numFmtId="166" fontId="7" fillId="5" borderId="0" xfId="0" applyNumberFormat="1" applyFont="1" applyFill="1" applyBorder="1"/>
    <xf numFmtId="0" fontId="7" fillId="0" borderId="7" xfId="0" applyFont="1" applyBorder="1"/>
    <xf numFmtId="0" fontId="7" fillId="0" borderId="8" xfId="0" applyFont="1" applyBorder="1"/>
    <xf numFmtId="0" fontId="5" fillId="0" borderId="8" xfId="0" applyFont="1" applyBorder="1"/>
    <xf numFmtId="167" fontId="5" fillId="0" borderId="8" xfId="0" applyNumberFormat="1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0" xfId="0" applyFont="1" applyBorder="1"/>
    <xf numFmtId="167" fontId="5" fillId="0" borderId="0" xfId="0" applyNumberFormat="1" applyFont="1" applyBorder="1"/>
    <xf numFmtId="0" fontId="5" fillId="0" borderId="11" xfId="0" applyFont="1" applyBorder="1"/>
    <xf numFmtId="0" fontId="7" fillId="0" borderId="10" xfId="0" applyFont="1" applyBorder="1"/>
    <xf numFmtId="167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6" fontId="7" fillId="5" borderId="12" xfId="0" applyNumberFormat="1" applyFont="1" applyFill="1" applyBorder="1"/>
    <xf numFmtId="9" fontId="5" fillId="0" borderId="0" xfId="0" applyNumberFormat="1" applyFont="1" applyBorder="1"/>
    <xf numFmtId="0" fontId="5" fillId="0" borderId="0" xfId="0" applyNumberFormat="1" applyFont="1" applyBorder="1"/>
    <xf numFmtId="4" fontId="5" fillId="0" borderId="0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3" fontId="5" fillId="0" borderId="0" xfId="0" applyNumberFormat="1" applyFont="1"/>
    <xf numFmtId="0" fontId="7" fillId="5" borderId="10" xfId="0" applyFont="1" applyFill="1" applyBorder="1"/>
    <xf numFmtId="0" fontId="7" fillId="5" borderId="0" xfId="0" applyFont="1" applyFill="1" applyBorder="1"/>
    <xf numFmtId="3" fontId="7" fillId="5" borderId="0" xfId="0" applyNumberFormat="1" applyFont="1" applyFill="1" applyBorder="1"/>
    <xf numFmtId="166" fontId="7" fillId="5" borderId="11" xfId="0" applyNumberFormat="1" applyFont="1" applyFill="1" applyBorder="1"/>
    <xf numFmtId="0" fontId="8" fillId="6" borderId="4" xfId="0" applyFont="1" applyFill="1" applyBorder="1"/>
    <xf numFmtId="0" fontId="8" fillId="6" borderId="5" xfId="0" applyFont="1" applyFill="1" applyBorder="1"/>
    <xf numFmtId="166" fontId="5" fillId="6" borderId="5" xfId="0" applyNumberFormat="1" applyFont="1" applyFill="1" applyBorder="1"/>
    <xf numFmtId="166" fontId="5" fillId="6" borderId="12" xfId="0" applyNumberFormat="1" applyFont="1" applyFill="1" applyBorder="1"/>
    <xf numFmtId="166" fontId="5" fillId="6" borderId="0" xfId="0" applyNumberFormat="1" applyFont="1" applyFill="1" applyBorder="1"/>
    <xf numFmtId="0" fontId="5" fillId="0" borderId="0" xfId="0" applyFont="1" applyBorder="1" applyAlignment="1">
      <alignment horizontal="center"/>
    </xf>
    <xf numFmtId="0" fontId="9" fillId="6" borderId="13" xfId="0" applyFont="1" applyFill="1" applyBorder="1"/>
    <xf numFmtId="0" fontId="9" fillId="6" borderId="14" xfId="0" applyFont="1" applyFill="1" applyBorder="1"/>
    <xf numFmtId="10" fontId="11" fillId="3" borderId="15" xfId="2" applyNumberFormat="1" applyFont="1" applyFill="1" applyBorder="1" applyAlignment="1" applyProtection="1">
      <alignment horizontal="center" vertical="center" wrapText="1"/>
    </xf>
    <xf numFmtId="166" fontId="5" fillId="0" borderId="16" xfId="0" applyNumberFormat="1" applyFont="1" applyBorder="1"/>
    <xf numFmtId="166" fontId="5" fillId="0" borderId="0" xfId="0" applyNumberFormat="1" applyFont="1" applyBorder="1"/>
    <xf numFmtId="0" fontId="9" fillId="6" borderId="17" xfId="0" applyFont="1" applyFill="1" applyBorder="1"/>
    <xf numFmtId="0" fontId="9" fillId="6" borderId="18" xfId="0" applyFont="1" applyFill="1" applyBorder="1"/>
    <xf numFmtId="10" fontId="11" fillId="3" borderId="3" xfId="2" applyNumberFormat="1" applyFont="1" applyFill="1" applyBorder="1" applyAlignment="1" applyProtection="1">
      <alignment horizontal="center" vertical="center" wrapText="1"/>
    </xf>
    <xf numFmtId="10" fontId="11" fillId="7" borderId="3" xfId="2" applyNumberFormat="1" applyFont="1" applyFill="1" applyBorder="1" applyAlignment="1" applyProtection="1">
      <alignment horizontal="center" vertical="center" wrapText="1"/>
    </xf>
    <xf numFmtId="0" fontId="9" fillId="6" borderId="19" xfId="0" applyFont="1" applyFill="1" applyBorder="1"/>
    <xf numFmtId="0" fontId="9" fillId="6" borderId="20" xfId="0" applyFont="1" applyFill="1" applyBorder="1"/>
    <xf numFmtId="10" fontId="11" fillId="3" borderId="21" xfId="2" applyNumberFormat="1" applyFont="1" applyFill="1" applyBorder="1" applyAlignment="1" applyProtection="1">
      <alignment horizontal="center" vertical="center" wrapText="1"/>
    </xf>
    <xf numFmtId="166" fontId="5" fillId="0" borderId="10" xfId="0" applyNumberFormat="1" applyFont="1" applyBorder="1"/>
    <xf numFmtId="0" fontId="8" fillId="6" borderId="22" xfId="0" applyFont="1" applyFill="1" applyBorder="1"/>
    <xf numFmtId="0" fontId="8" fillId="6" borderId="23" xfId="0" applyFont="1" applyFill="1" applyBorder="1"/>
    <xf numFmtId="10" fontId="11" fillId="3" borderId="24" xfId="2" applyNumberFormat="1" applyFont="1" applyFill="1" applyBorder="1" applyAlignment="1" applyProtection="1">
      <alignment horizontal="center" vertical="center" wrapText="1"/>
    </xf>
    <xf numFmtId="166" fontId="8" fillId="6" borderId="25" xfId="0" applyNumberFormat="1" applyFont="1" applyFill="1" applyBorder="1"/>
    <xf numFmtId="166" fontId="8" fillId="6" borderId="0" xfId="0" applyNumberFormat="1" applyFont="1" applyFill="1" applyBorder="1"/>
    <xf numFmtId="168" fontId="5" fillId="0" borderId="0" xfId="0" applyNumberFormat="1" applyFont="1"/>
    <xf numFmtId="0" fontId="7" fillId="0" borderId="26" xfId="0" applyFont="1" applyBorder="1"/>
    <xf numFmtId="0" fontId="5" fillId="0" borderId="27" xfId="0" applyFont="1" applyBorder="1"/>
    <xf numFmtId="167" fontId="5" fillId="0" borderId="27" xfId="0" applyNumberFormat="1" applyFont="1" applyBorder="1"/>
    <xf numFmtId="4" fontId="5" fillId="0" borderId="6" xfId="0" applyNumberFormat="1" applyFont="1" applyBorder="1" applyAlignment="1">
      <alignment horizontal="center"/>
    </xf>
    <xf numFmtId="166" fontId="9" fillId="6" borderId="5" xfId="0" applyNumberFormat="1" applyFont="1" applyFill="1" applyBorder="1"/>
    <xf numFmtId="166" fontId="9" fillId="6" borderId="12" xfId="0" applyNumberFormat="1" applyFont="1" applyFill="1" applyBorder="1"/>
    <xf numFmtId="166" fontId="9" fillId="6" borderId="0" xfId="0" applyNumberFormat="1" applyFont="1" applyFill="1" applyBorder="1"/>
    <xf numFmtId="166" fontId="5" fillId="0" borderId="28" xfId="0" applyNumberFormat="1" applyFont="1" applyBorder="1"/>
    <xf numFmtId="0" fontId="9" fillId="6" borderId="29" xfId="0" applyFont="1" applyFill="1" applyBorder="1" applyAlignment="1">
      <alignment vertical="center"/>
    </xf>
    <xf numFmtId="0" fontId="9" fillId="6" borderId="30" xfId="0" applyFont="1" applyFill="1" applyBorder="1" applyAlignment="1">
      <alignment horizontal="left" vertical="center"/>
    </xf>
    <xf numFmtId="165" fontId="11" fillId="3" borderId="31" xfId="2" applyNumberFormat="1" applyFont="1" applyFill="1" applyBorder="1" applyAlignment="1" applyProtection="1">
      <alignment horizontal="center" vertical="center" wrapText="1"/>
    </xf>
    <xf numFmtId="166" fontId="5" fillId="0" borderId="32" xfId="0" applyNumberFormat="1" applyFont="1" applyBorder="1"/>
    <xf numFmtId="2" fontId="5" fillId="0" borderId="0" xfId="0" applyNumberFormat="1" applyFont="1"/>
    <xf numFmtId="0" fontId="7" fillId="0" borderId="0" xfId="0" applyFont="1"/>
    <xf numFmtId="0" fontId="9" fillId="6" borderId="18" xfId="0" applyFont="1" applyFill="1" applyBorder="1" applyAlignment="1">
      <alignment horizontal="left" vertical="center"/>
    </xf>
    <xf numFmtId="165" fontId="11" fillId="3" borderId="3" xfId="2" applyNumberFormat="1" applyFont="1" applyFill="1" applyBorder="1" applyAlignment="1" applyProtection="1">
      <alignment horizontal="center"/>
    </xf>
    <xf numFmtId="165" fontId="11" fillId="3" borderId="3" xfId="2" applyNumberFormat="1" applyFont="1" applyFill="1" applyBorder="1" applyAlignment="1" applyProtection="1">
      <alignment horizontal="center" vertical="center" wrapText="1"/>
    </xf>
    <xf numFmtId="0" fontId="9" fillId="6" borderId="36" xfId="0" applyFont="1" applyFill="1" applyBorder="1" applyAlignment="1">
      <alignment horizontal="left" vertical="center"/>
    </xf>
    <xf numFmtId="10" fontId="11" fillId="3" borderId="37" xfId="2" applyNumberFormat="1" applyFont="1" applyFill="1" applyBorder="1" applyAlignment="1" applyProtection="1">
      <alignment horizontal="center" vertical="center" wrapText="1"/>
    </xf>
    <xf numFmtId="0" fontId="5" fillId="0" borderId="38" xfId="0" applyFont="1" applyBorder="1"/>
    <xf numFmtId="10" fontId="7" fillId="8" borderId="24" xfId="1" applyNumberFormat="1" applyFont="1" applyFill="1" applyBorder="1"/>
    <xf numFmtId="166" fontId="7" fillId="8" borderId="25" xfId="0" applyNumberFormat="1" applyFont="1" applyFill="1" applyBorder="1"/>
    <xf numFmtId="166" fontId="5" fillId="0" borderId="16" xfId="0" applyNumberFormat="1" applyFont="1" applyFill="1" applyBorder="1"/>
    <xf numFmtId="166" fontId="5" fillId="0" borderId="0" xfId="0" applyNumberFormat="1" applyFont="1" applyFill="1" applyBorder="1"/>
    <xf numFmtId="166" fontId="8" fillId="6" borderId="12" xfId="0" applyNumberFormat="1" applyFont="1" applyFill="1" applyBorder="1"/>
    <xf numFmtId="10" fontId="7" fillId="3" borderId="39" xfId="1" applyNumberFormat="1" applyFont="1" applyFill="1" applyBorder="1"/>
    <xf numFmtId="166" fontId="5" fillId="0" borderId="39" xfId="0" applyNumberFormat="1" applyFont="1" applyBorder="1"/>
    <xf numFmtId="49" fontId="5" fillId="0" borderId="4" xfId="0" applyNumberFormat="1" applyFont="1" applyBorder="1" applyAlignment="1">
      <alignment horizontal="center"/>
    </xf>
    <xf numFmtId="166" fontId="5" fillId="0" borderId="5" xfId="0" applyNumberFormat="1" applyFont="1" applyBorder="1"/>
    <xf numFmtId="166" fontId="5" fillId="0" borderId="12" xfId="0" applyNumberFormat="1" applyFont="1" applyBorder="1"/>
    <xf numFmtId="0" fontId="7" fillId="8" borderId="4" xfId="0" applyFont="1" applyFill="1" applyBorder="1"/>
    <xf numFmtId="0" fontId="7" fillId="8" borderId="5" xfId="0" applyFont="1" applyFill="1" applyBorder="1"/>
    <xf numFmtId="166" fontId="7" fillId="8" borderId="5" xfId="0" applyNumberFormat="1" applyFont="1" applyFill="1" applyBorder="1" applyAlignment="1">
      <alignment horizontal="center"/>
    </xf>
    <xf numFmtId="166" fontId="7" fillId="8" borderId="12" xfId="0" applyNumberFormat="1" applyFont="1" applyFill="1" applyBorder="1"/>
    <xf numFmtId="166" fontId="7" fillId="8" borderId="0" xfId="0" applyNumberFormat="1" applyFont="1" applyFill="1" applyBorder="1"/>
    <xf numFmtId="166" fontId="5" fillId="5" borderId="5" xfId="0" applyNumberFormat="1" applyFont="1" applyFill="1" applyBorder="1" applyAlignment="1">
      <alignment horizontal="center"/>
    </xf>
    <xf numFmtId="3" fontId="0" fillId="0" borderId="0" xfId="0" applyNumberFormat="1" applyFill="1"/>
    <xf numFmtId="2" fontId="0" fillId="0" borderId="0" xfId="0" applyNumberFormat="1"/>
    <xf numFmtId="9" fontId="0" fillId="0" borderId="0" xfId="1" applyFont="1"/>
    <xf numFmtId="9" fontId="3" fillId="0" borderId="2" xfId="1" applyFont="1" applyFill="1" applyBorder="1" applyAlignment="1" applyProtection="1">
      <alignment vertical="center" wrapText="1"/>
    </xf>
    <xf numFmtId="169" fontId="0" fillId="0" borderId="0" xfId="1" applyNumberFormat="1" applyFont="1"/>
    <xf numFmtId="166" fontId="6" fillId="0" borderId="0" xfId="0" applyNumberFormat="1" applyFont="1" applyAlignment="1">
      <alignment horizont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2" fillId="0" borderId="0" xfId="0" applyNumberFormat="1" applyFont="1"/>
    <xf numFmtId="4" fontId="5" fillId="0" borderId="0" xfId="0" applyNumberFormat="1" applyFont="1"/>
    <xf numFmtId="9" fontId="5" fillId="0" borderId="0" xfId="0" applyNumberFormat="1" applyFont="1"/>
    <xf numFmtId="4" fontId="7" fillId="0" borderId="0" xfId="0" applyNumberFormat="1" applyFont="1"/>
    <xf numFmtId="3" fontId="0" fillId="0" borderId="0" xfId="0" applyNumberFormat="1" applyAlignment="1">
      <alignment horizontal="center"/>
    </xf>
    <xf numFmtId="41" fontId="1" fillId="0" borderId="0" xfId="0" applyNumberFormat="1" applyFont="1"/>
    <xf numFmtId="3" fontId="16" fillId="0" borderId="0" xfId="0" applyNumberFormat="1" applyFont="1"/>
    <xf numFmtId="9" fontId="0" fillId="0" borderId="0" xfId="0" applyNumberFormat="1"/>
    <xf numFmtId="166" fontId="7" fillId="10" borderId="3" xfId="0" applyNumberFormat="1" applyFont="1" applyFill="1" applyBorder="1"/>
    <xf numFmtId="0" fontId="0" fillId="0" borderId="0" xfId="0" applyAlignment="1">
      <alignment horizontal="right"/>
    </xf>
    <xf numFmtId="9" fontId="0" fillId="0" borderId="0" xfId="1" applyNumberFormat="1" applyFont="1"/>
    <xf numFmtId="3" fontId="0" fillId="11" borderId="0" xfId="0" applyNumberFormat="1" applyFill="1"/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17" xfId="0" applyBorder="1"/>
    <xf numFmtId="0" fontId="2" fillId="0" borderId="3" xfId="0" applyFont="1" applyBorder="1" applyAlignment="1">
      <alignment horizontal="center"/>
    </xf>
    <xf numFmtId="0" fontId="0" fillId="0" borderId="3" xfId="0" applyBorder="1"/>
    <xf numFmtId="0" fontId="0" fillId="0" borderId="40" xfId="0" applyBorder="1"/>
    <xf numFmtId="0" fontId="0" fillId="12" borderId="17" xfId="0" applyFill="1" applyBorder="1"/>
    <xf numFmtId="3" fontId="0" fillId="12" borderId="3" xfId="0" applyNumberFormat="1" applyFill="1" applyBorder="1"/>
    <xf numFmtId="0" fontId="0" fillId="12" borderId="3" xfId="0" applyFill="1" applyBorder="1"/>
    <xf numFmtId="0" fontId="0" fillId="12" borderId="40" xfId="0" applyFill="1" applyBorder="1"/>
    <xf numFmtId="3" fontId="0" fillId="12" borderId="18" xfId="0" applyNumberFormat="1" applyFill="1" applyBorder="1"/>
    <xf numFmtId="0" fontId="0" fillId="8" borderId="17" xfId="0" applyFill="1" applyBorder="1"/>
    <xf numFmtId="3" fontId="0" fillId="8" borderId="3" xfId="0" applyNumberFormat="1" applyFill="1" applyBorder="1"/>
    <xf numFmtId="0" fontId="0" fillId="8" borderId="3" xfId="0" applyFill="1" applyBorder="1"/>
    <xf numFmtId="0" fontId="0" fillId="8" borderId="40" xfId="0" applyFill="1" applyBorder="1"/>
    <xf numFmtId="3" fontId="0" fillId="8" borderId="18" xfId="0" applyNumberFormat="1" applyFill="1" applyBorder="1"/>
    <xf numFmtId="0" fontId="0" fillId="8" borderId="18" xfId="0" applyFill="1" applyBorder="1"/>
    <xf numFmtId="0" fontId="0" fillId="14" borderId="17" xfId="0" applyFill="1" applyBorder="1"/>
    <xf numFmtId="3" fontId="0" fillId="14" borderId="3" xfId="0" applyNumberFormat="1" applyFill="1" applyBorder="1"/>
    <xf numFmtId="0" fontId="0" fillId="14" borderId="3" xfId="0" applyFill="1" applyBorder="1"/>
    <xf numFmtId="0" fontId="0" fillId="14" borderId="40" xfId="0" applyFill="1" applyBorder="1"/>
    <xf numFmtId="0" fontId="0" fillId="14" borderId="18" xfId="0" applyFill="1" applyBorder="1"/>
    <xf numFmtId="3" fontId="0" fillId="0" borderId="3" xfId="0" applyNumberFormat="1" applyBorder="1"/>
    <xf numFmtId="0" fontId="0" fillId="0" borderId="18" xfId="0" applyBorder="1"/>
    <xf numFmtId="0" fontId="0" fillId="13" borderId="3" xfId="0" applyFill="1" applyBorder="1"/>
    <xf numFmtId="3" fontId="0" fillId="13" borderId="3" xfId="0" applyNumberFormat="1" applyFill="1" applyBorder="1"/>
    <xf numFmtId="0" fontId="0" fillId="15" borderId="3" xfId="0" applyFill="1" applyBorder="1"/>
    <xf numFmtId="3" fontId="0" fillId="15" borderId="3" xfId="0" applyNumberFormat="1" applyFill="1" applyBorder="1"/>
    <xf numFmtId="0" fontId="0" fillId="0" borderId="35" xfId="0" applyBorder="1"/>
    <xf numFmtId="0" fontId="0" fillId="0" borderId="42" xfId="0" applyBorder="1"/>
    <xf numFmtId="0" fontId="0" fillId="0" borderId="43" xfId="0" applyBorder="1"/>
    <xf numFmtId="3" fontId="0" fillId="4" borderId="3" xfId="0" applyNumberFormat="1" applyFill="1" applyBorder="1"/>
    <xf numFmtId="1" fontId="5" fillId="0" borderId="0" xfId="0" applyNumberFormat="1" applyFont="1"/>
    <xf numFmtId="1" fontId="0" fillId="12" borderId="18" xfId="0" applyNumberFormat="1" applyFill="1" applyBorder="1"/>
    <xf numFmtId="166" fontId="6" fillId="0" borderId="0" xfId="0" applyNumberFormat="1" applyFont="1" applyAlignment="1">
      <alignment horizontal="center"/>
    </xf>
    <xf numFmtId="166" fontId="6" fillId="10" borderId="0" xfId="0" applyNumberFormat="1" applyFont="1" applyFill="1" applyAlignment="1">
      <alignment horizontal="center"/>
    </xf>
    <xf numFmtId="41" fontId="0" fillId="0" borderId="0" xfId="0" applyNumberFormat="1"/>
    <xf numFmtId="0" fontId="18" fillId="0" borderId="44" xfId="0" applyFont="1" applyFill="1" applyBorder="1" applyAlignment="1" applyProtection="1">
      <alignment horizontal="center" vertical="center" wrapText="1"/>
      <protection hidden="1"/>
    </xf>
    <xf numFmtId="0" fontId="0" fillId="12" borderId="0" xfId="0" applyFill="1"/>
    <xf numFmtId="3" fontId="0" fillId="12" borderId="0" xfId="0" applyNumberFormat="1" applyFill="1"/>
    <xf numFmtId="3" fontId="2" fillId="12" borderId="0" xfId="0" applyNumberFormat="1" applyFont="1" applyFill="1"/>
    <xf numFmtId="0" fontId="2" fillId="17" borderId="3" xfId="0" applyFont="1" applyFill="1" applyBorder="1" applyAlignment="1">
      <alignment horizontal="center" vertical="center" wrapText="1"/>
    </xf>
    <xf numFmtId="3" fontId="0" fillId="17" borderId="3" xfId="0" applyNumberFormat="1" applyFill="1" applyBorder="1"/>
    <xf numFmtId="0" fontId="2" fillId="16" borderId="18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3" fontId="0" fillId="16" borderId="18" xfId="0" applyNumberFormat="1" applyFill="1" applyBorder="1"/>
    <xf numFmtId="165" fontId="0" fillId="0" borderId="0" xfId="0" applyNumberFormat="1"/>
    <xf numFmtId="170" fontId="0" fillId="0" borderId="0" xfId="0" applyNumberFormat="1"/>
    <xf numFmtId="165" fontId="0" fillId="0" borderId="0" xfId="1" applyNumberFormat="1" applyFont="1"/>
    <xf numFmtId="0" fontId="16" fillId="16" borderId="0" xfId="0" applyFont="1" applyFill="1" applyAlignment="1">
      <alignment horizontal="center"/>
    </xf>
    <xf numFmtId="0" fontId="2" fillId="18" borderId="18" xfId="0" applyFont="1" applyFill="1" applyBorder="1" applyAlignment="1">
      <alignment horizont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0" fontId="16" fillId="19" borderId="3" xfId="0" applyFont="1" applyFill="1" applyBorder="1" applyAlignment="1">
      <alignment wrapText="1"/>
    </xf>
    <xf numFmtId="3" fontId="20" fillId="19" borderId="3" xfId="0" applyNumberFormat="1" applyFont="1" applyFill="1" applyBorder="1" applyAlignment="1">
      <alignment horizontal="center" vertical="center"/>
    </xf>
    <xf numFmtId="3" fontId="2" fillId="11" borderId="0" xfId="0" applyNumberFormat="1" applyFont="1" applyFill="1" applyAlignment="1">
      <alignment horizontal="center" vertical="center"/>
    </xf>
    <xf numFmtId="3" fontId="21" fillId="11" borderId="3" xfId="0" applyNumberFormat="1" applyFont="1" applyFill="1" applyBorder="1" applyAlignment="1">
      <alignment horizontal="center" vertical="center"/>
    </xf>
    <xf numFmtId="0" fontId="0" fillId="10" borderId="0" xfId="0" applyFill="1"/>
    <xf numFmtId="0" fontId="0" fillId="0" borderId="0" xfId="0" applyAlignment="1"/>
    <xf numFmtId="0" fontId="19" fillId="4" borderId="3" xfId="0" applyFont="1" applyFill="1" applyBorder="1" applyAlignment="1">
      <alignment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 vertical="center"/>
    </xf>
    <xf numFmtId="171" fontId="19" fillId="4" borderId="3" xfId="4" applyNumberFormat="1" applyFont="1" applyFill="1" applyBorder="1"/>
    <xf numFmtId="0" fontId="22" fillId="4" borderId="0" xfId="0" applyFont="1" applyFill="1" applyAlignment="1">
      <alignment horizontal="center"/>
    </xf>
    <xf numFmtId="172" fontId="23" fillId="10" borderId="44" xfId="4" applyNumberFormat="1" applyFont="1" applyFill="1" applyBorder="1" applyAlignment="1" applyProtection="1">
      <alignment horizontal="center" vertical="center"/>
      <protection hidden="1"/>
    </xf>
    <xf numFmtId="4" fontId="0" fillId="16" borderId="18" xfId="0" applyNumberFormat="1" applyFill="1" applyBorder="1"/>
    <xf numFmtId="0" fontId="0" fillId="19" borderId="3" xfId="0" applyFill="1" applyBorder="1"/>
    <xf numFmtId="173" fontId="10" fillId="19" borderId="3" xfId="2" applyNumberFormat="1" applyFill="1" applyBorder="1"/>
    <xf numFmtId="9" fontId="0" fillId="19" borderId="3" xfId="1" applyFont="1" applyFill="1" applyBorder="1"/>
    <xf numFmtId="0" fontId="2" fillId="8" borderId="3" xfId="0" applyFont="1" applyFill="1" applyBorder="1" applyAlignment="1">
      <alignment horizontal="center"/>
    </xf>
    <xf numFmtId="0" fontId="2" fillId="19" borderId="3" xfId="0" applyFont="1" applyFill="1" applyBorder="1" applyAlignment="1">
      <alignment horizontal="center"/>
    </xf>
    <xf numFmtId="10" fontId="2" fillId="19" borderId="3" xfId="0" applyNumberFormat="1" applyFont="1" applyFill="1" applyBorder="1" applyAlignment="1">
      <alignment horizontal="center"/>
    </xf>
    <xf numFmtId="42" fontId="0" fillId="0" borderId="0" xfId="5" applyFont="1"/>
    <xf numFmtId="169" fontId="7" fillId="5" borderId="5" xfId="1" applyNumberFormat="1" applyFont="1" applyFill="1" applyBorder="1" applyAlignment="1">
      <alignment horizontal="center"/>
    </xf>
    <xf numFmtId="174" fontId="19" fillId="4" borderId="3" xfId="0" applyNumberFormat="1" applyFont="1" applyFill="1" applyBorder="1" applyAlignment="1">
      <alignment horizontal="center" vertical="center"/>
    </xf>
    <xf numFmtId="166" fontId="7" fillId="21" borderId="3" xfId="0" applyNumberFormat="1" applyFont="1" applyFill="1" applyBorder="1" applyAlignment="1">
      <alignment horizontal="center"/>
    </xf>
    <xf numFmtId="10" fontId="0" fillId="0" borderId="0" xfId="1" applyNumberFormat="1" applyFont="1"/>
    <xf numFmtId="166" fontId="7" fillId="11" borderId="3" xfId="0" applyNumberFormat="1" applyFont="1" applyFill="1" applyBorder="1"/>
    <xf numFmtId="166" fontId="7" fillId="11" borderId="3" xfId="0" applyNumberFormat="1" applyFont="1" applyFill="1" applyBorder="1" applyAlignment="1">
      <alignment horizontal="center"/>
    </xf>
    <xf numFmtId="0" fontId="18" fillId="0" borderId="0" xfId="0" applyFont="1" applyFill="1" applyBorder="1" applyAlignment="1" applyProtection="1">
      <alignment horizontal="center" vertical="center" wrapText="1"/>
      <protection hidden="1"/>
    </xf>
    <xf numFmtId="166" fontId="7" fillId="4" borderId="3" xfId="0" applyNumberFormat="1" applyFont="1" applyFill="1" applyBorder="1"/>
    <xf numFmtId="166" fontId="7" fillId="4" borderId="3" xfId="0" applyNumberFormat="1" applyFont="1" applyFill="1" applyBorder="1" applyAlignment="1">
      <alignment horizontal="center"/>
    </xf>
    <xf numFmtId="175" fontId="0" fillId="0" borderId="0" xfId="0" applyNumberFormat="1" applyAlignment="1">
      <alignment horizontal="center" vertical="center"/>
    </xf>
    <xf numFmtId="175" fontId="0" fillId="0" borderId="0" xfId="0" applyNumberFormat="1"/>
    <xf numFmtId="0" fontId="0" fillId="0" borderId="0" xfId="0" applyAlignment="1">
      <alignment horizontal="center"/>
    </xf>
    <xf numFmtId="166" fontId="6" fillId="0" borderId="0" xfId="0" applyNumberFormat="1" applyFont="1" applyAlignment="1">
      <alignment horizontal="center"/>
    </xf>
    <xf numFmtId="0" fontId="9" fillId="6" borderId="33" xfId="0" applyFont="1" applyFill="1" applyBorder="1" applyAlignment="1">
      <alignment horizontal="left" vertical="center"/>
    </xf>
    <xf numFmtId="0" fontId="9" fillId="6" borderId="34" xfId="0" applyFont="1" applyFill="1" applyBorder="1" applyAlignment="1">
      <alignment horizontal="left" vertical="center"/>
    </xf>
    <xf numFmtId="0" fontId="9" fillId="6" borderId="35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24" fillId="20" borderId="0" xfId="0" applyFont="1" applyFill="1" applyAlignment="1">
      <alignment horizontal="center"/>
    </xf>
    <xf numFmtId="0" fontId="2" fillId="17" borderId="3" xfId="0" applyFont="1" applyFill="1" applyBorder="1" applyAlignment="1">
      <alignment horizontal="center" vertical="center"/>
    </xf>
    <xf numFmtId="0" fontId="16" fillId="16" borderId="0" xfId="0" applyFont="1" applyFill="1" applyAlignment="1">
      <alignment horizontal="center"/>
    </xf>
    <xf numFmtId="0" fontId="2" fillId="11" borderId="0" xfId="0" applyFont="1" applyFill="1" applyAlignment="1">
      <alignment horizontal="center" vertical="center" wrapText="1"/>
    </xf>
    <xf numFmtId="0" fontId="17" fillId="10" borderId="41" xfId="0" applyFont="1" applyFill="1" applyBorder="1" applyAlignment="1">
      <alignment horizontal="center" wrapText="1"/>
    </xf>
    <xf numFmtId="0" fontId="17" fillId="10" borderId="0" xfId="0" applyFont="1" applyFill="1" applyAlignment="1">
      <alignment horizontal="center" wrapText="1"/>
    </xf>
    <xf numFmtId="0" fontId="0" fillId="4" borderId="0" xfId="0" applyFill="1" applyAlignment="1">
      <alignment horizontal="center" wrapText="1"/>
    </xf>
  </cellXfs>
  <cellStyles count="6">
    <cellStyle name="HeaderTopStyle" xfId="3"/>
    <cellStyle name="Moneda" xfId="4" builtinId="4"/>
    <cellStyle name="Moneda [0]" xfId="5" builtinId="7"/>
    <cellStyle name="Normal" xfId="0" builtinId="0"/>
    <cellStyle name="Normal 2" xfId="2"/>
    <cellStyle name="Porcentaje" xfId="1" builtinId="5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VENTOS/EVENTOS%202018/49824%20COLDEPORTES/4982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7262-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Bienes de Aseo y Caf"/>
      <sheetName val="Detalle Especificaciones"/>
      <sheetName val="Resumen - CSV"/>
      <sheetName val="Cotizacion Bienes de Aseo y Ca"/>
      <sheetName val="Cotizacion"/>
      <sheetName val="ConsolidadoServicios"/>
      <sheetName val="solCotizacionCSV_es"/>
      <sheetName val="Listas"/>
      <sheetName val="ClasifiPersonal"/>
      <sheetName val="TablaDinamica"/>
      <sheetName val="temp"/>
      <sheetName val="Pre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 t="str">
            <v>Operario de aseo</v>
          </cell>
        </row>
        <row r="3">
          <cell r="H3" t="str">
            <v>Operario de cafetería</v>
          </cell>
        </row>
        <row r="4">
          <cell r="H4" t="str">
            <v>Operario de aseo y cafetería</v>
          </cell>
        </row>
        <row r="5">
          <cell r="H5" t="str">
            <v>Operario de mantenimiento</v>
          </cell>
        </row>
        <row r="6">
          <cell r="H6" t="str">
            <v>Operario auxiliar</v>
          </cell>
        </row>
        <row r="7">
          <cell r="H7" t="str">
            <v>Coordinador de tiempo completo</v>
          </cell>
        </row>
        <row r="8">
          <cell r="H8" t="str">
            <v>Jardinero</v>
          </cell>
        </row>
        <row r="9">
          <cell r="H9" t="str">
            <v>Operario de mantenimiento capacitado para trabajo en alturas nivel básico</v>
          </cell>
        </row>
        <row r="10">
          <cell r="H10" t="str">
            <v>Operario auxiliar capacitado para trabajo en alturas nivel básico</v>
          </cell>
        </row>
        <row r="11">
          <cell r="H11" t="str">
            <v>Jardinero capacitado para trabajo en alturas nivel básico</v>
          </cell>
        </row>
        <row r="12">
          <cell r="H12" t="str">
            <v>Coordinador de trabajo en alturas nivel básico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Bienes de Aseo y Caf"/>
      <sheetName val="Detalle Especificaciones"/>
      <sheetName val="Resumen - CSV"/>
      <sheetName val="Cotizacion Bienes de Aseo y Ca"/>
      <sheetName val="Cotizacion"/>
      <sheetName val="ConsolidadoServicios"/>
      <sheetName val="solCotizacionCSV_es"/>
      <sheetName val="Listas"/>
      <sheetName val="ClasifiPersonal"/>
      <sheetName val="TablaDinamica"/>
      <sheetName val="temp"/>
      <sheetName val="Precios"/>
    </sheetNames>
    <sheetDataSet>
      <sheetData sheetId="0"/>
      <sheetData sheetId="1"/>
      <sheetData sheetId="2"/>
      <sheetData sheetId="3"/>
      <sheetData sheetId="4"/>
      <sheetData sheetId="5">
        <row r="23">
          <cell r="Q23">
            <v>2313989341.9499998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0"/>
  <sheetViews>
    <sheetView view="pageBreakPreview" topLeftCell="O30" zoomScale="110" zoomScaleNormal="100" zoomScaleSheetLayoutView="110" workbookViewId="0">
      <selection activeCell="Y44" sqref="Y44"/>
    </sheetView>
  </sheetViews>
  <sheetFormatPr baseColWidth="10" defaultRowHeight="12.75" x14ac:dyDescent="0.2"/>
  <cols>
    <col min="1" max="1" width="4.140625" style="13" hidden="1" customWidth="1"/>
    <col min="2" max="2" width="26.42578125" style="13" customWidth="1"/>
    <col min="3" max="3" width="3.42578125" style="13" customWidth="1"/>
    <col min="4" max="4" width="9.140625" style="15" customWidth="1"/>
    <col min="5" max="5" width="13.7109375" style="15" customWidth="1"/>
    <col min="6" max="6" width="13.7109375" style="15" hidden="1" customWidth="1"/>
    <col min="7" max="7" width="11.42578125" style="15" hidden="1" customWidth="1"/>
    <col min="8" max="9" width="12.140625" style="15" customWidth="1"/>
    <col min="10" max="10" width="12" style="15" hidden="1" customWidth="1"/>
    <col min="11" max="11" width="12.7109375" style="15" customWidth="1"/>
    <col min="12" max="12" width="10.7109375" style="15" customWidth="1"/>
    <col min="13" max="13" width="13.140625" style="15" customWidth="1"/>
    <col min="14" max="14" width="14.28515625" style="15" customWidth="1"/>
    <col min="15" max="15" width="12.5703125" style="13" customWidth="1"/>
    <col min="16" max="16" width="30.7109375" style="13" customWidth="1"/>
    <col min="17" max="17" width="4.28515625" style="13" customWidth="1"/>
    <col min="18" max="18" width="6.140625" style="13" customWidth="1"/>
    <col min="19" max="19" width="10.85546875" style="13" customWidth="1"/>
    <col min="20" max="20" width="9.28515625" style="17" customWidth="1"/>
    <col min="21" max="21" width="10.5703125" style="17" customWidth="1"/>
    <col min="22" max="22" width="8.85546875" style="13" customWidth="1"/>
    <col min="23" max="23" width="11.85546875" style="13" customWidth="1"/>
    <col min="24" max="24" width="14" style="13" customWidth="1"/>
    <col min="25" max="25" width="13.7109375" style="13" customWidth="1"/>
    <col min="26" max="26" width="13.28515625" style="13" bestFit="1" customWidth="1"/>
    <col min="27" max="16384" width="11.42578125" style="13"/>
  </cols>
  <sheetData>
    <row r="1" spans="1:26" ht="15" x14ac:dyDescent="0.25">
      <c r="B1" s="14" t="s">
        <v>19</v>
      </c>
      <c r="C1" s="14"/>
      <c r="E1" s="217"/>
      <c r="F1" s="217"/>
      <c r="G1" s="217"/>
      <c r="H1" s="217"/>
      <c r="I1" s="217"/>
      <c r="J1" s="217"/>
      <c r="K1" s="217"/>
      <c r="L1" s="217"/>
      <c r="M1" s="16"/>
      <c r="N1" s="16"/>
    </row>
    <row r="2" spans="1:26" ht="15" x14ac:dyDescent="0.25">
      <c r="B2" s="14"/>
      <c r="C2" s="14"/>
      <c r="E2" s="16"/>
      <c r="F2" s="164"/>
      <c r="G2" s="16"/>
      <c r="H2" s="184"/>
      <c r="I2" s="16"/>
      <c r="J2" s="16"/>
      <c r="K2" s="16"/>
      <c r="L2" s="16"/>
      <c r="M2" s="16"/>
      <c r="N2" s="16"/>
    </row>
    <row r="3" spans="1:26" ht="15" x14ac:dyDescent="0.25">
      <c r="B3" s="14"/>
      <c r="C3" s="14"/>
      <c r="E3" s="165"/>
      <c r="F3" s="165"/>
      <c r="G3" s="165"/>
      <c r="H3" s="165"/>
      <c r="I3" s="165"/>
      <c r="J3" s="165"/>
      <c r="K3" s="165"/>
      <c r="L3" s="165"/>
      <c r="M3" s="16"/>
      <c r="N3" s="16"/>
    </row>
    <row r="4" spans="1:26" x14ac:dyDescent="0.2">
      <c r="E4" s="165"/>
      <c r="F4" s="125"/>
      <c r="G4" s="165"/>
      <c r="H4" s="165"/>
      <c r="I4" s="165"/>
      <c r="J4" s="165"/>
      <c r="K4" s="165"/>
      <c r="L4" s="165"/>
      <c r="M4" s="114"/>
      <c r="N4" s="18"/>
      <c r="S4" s="13" t="s">
        <v>20</v>
      </c>
    </row>
    <row r="5" spans="1:26" ht="13.5" thickBot="1" x14ac:dyDescent="0.25">
      <c r="E5" s="212" t="s">
        <v>21</v>
      </c>
      <c r="F5" s="209" t="s">
        <v>116</v>
      </c>
      <c r="G5" s="210" t="s">
        <v>88</v>
      </c>
      <c r="H5" s="213" t="s">
        <v>122</v>
      </c>
      <c r="I5" s="213" t="s">
        <v>121</v>
      </c>
      <c r="J5" s="207" t="s">
        <v>111</v>
      </c>
      <c r="K5" s="213" t="s">
        <v>112</v>
      </c>
      <c r="L5" s="212" t="s">
        <v>22</v>
      </c>
      <c r="M5" s="212" t="s">
        <v>23</v>
      </c>
      <c r="N5" s="19"/>
      <c r="P5" s="20">
        <v>2016</v>
      </c>
    </row>
    <row r="6" spans="1:26" ht="13.5" thickBot="1" x14ac:dyDescent="0.25">
      <c r="B6" s="21" t="s">
        <v>24</v>
      </c>
      <c r="C6" s="22"/>
      <c r="D6" s="22"/>
      <c r="E6" s="23">
        <v>781242</v>
      </c>
      <c r="F6" s="23">
        <v>781242</v>
      </c>
      <c r="G6" s="23">
        <v>850000</v>
      </c>
      <c r="H6" s="23">
        <v>781242</v>
      </c>
      <c r="I6" s="23">
        <v>830000</v>
      </c>
      <c r="J6" s="23">
        <v>850000</v>
      </c>
      <c r="K6" s="23">
        <v>900000</v>
      </c>
      <c r="L6" s="23">
        <v>830000</v>
      </c>
      <c r="M6" s="23">
        <v>850000</v>
      </c>
      <c r="N6" s="24"/>
      <c r="P6" s="25" t="s">
        <v>25</v>
      </c>
      <c r="Q6" s="26">
        <v>240</v>
      </c>
      <c r="R6" s="27"/>
      <c r="S6" s="27"/>
      <c r="T6" s="28"/>
      <c r="U6" s="28"/>
      <c r="V6" s="27"/>
      <c r="W6" s="29"/>
    </row>
    <row r="7" spans="1:26" ht="13.5" thickBot="1" x14ac:dyDescent="0.25">
      <c r="B7" s="21" t="s">
        <v>26</v>
      </c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4"/>
      <c r="P7" s="30"/>
      <c r="Q7" s="31"/>
      <c r="R7" s="31"/>
      <c r="S7" s="31"/>
      <c r="T7" s="32"/>
      <c r="U7" s="32"/>
      <c r="V7" s="31"/>
      <c r="W7" s="33"/>
    </row>
    <row r="8" spans="1:26" ht="13.5" thickBot="1" x14ac:dyDescent="0.25">
      <c r="B8" s="21" t="s">
        <v>27</v>
      </c>
      <c r="C8" s="22"/>
      <c r="D8" s="22"/>
      <c r="E8" s="23"/>
      <c r="F8" s="23"/>
      <c r="G8" s="23"/>
      <c r="H8" s="23"/>
      <c r="I8" s="23"/>
      <c r="J8" s="23"/>
      <c r="K8" s="23"/>
      <c r="L8" s="23"/>
      <c r="M8" s="23"/>
      <c r="N8" s="24"/>
      <c r="P8" s="34" t="s">
        <v>28</v>
      </c>
      <c r="Q8" s="31"/>
      <c r="R8" s="31"/>
      <c r="S8" s="35" t="s">
        <v>29</v>
      </c>
      <c r="T8" s="35" t="s">
        <v>30</v>
      </c>
      <c r="U8" s="36" t="s">
        <v>31</v>
      </c>
      <c r="V8" s="36" t="s">
        <v>32</v>
      </c>
      <c r="W8" s="37" t="s">
        <v>33</v>
      </c>
    </row>
    <row r="9" spans="1:26" ht="13.5" thickBot="1" x14ac:dyDescent="0.25">
      <c r="B9" s="21" t="s">
        <v>34</v>
      </c>
      <c r="C9" s="22"/>
      <c r="D9" s="22"/>
      <c r="E9" s="38">
        <f>E6+E7+E8</f>
        <v>781242</v>
      </c>
      <c r="F9" s="38">
        <f>+F6/2</f>
        <v>390621</v>
      </c>
      <c r="G9" s="38">
        <f>G6+G7+G8</f>
        <v>850000</v>
      </c>
      <c r="H9" s="38">
        <f t="shared" ref="H9" si="0">H6+H7+H8</f>
        <v>781242</v>
      </c>
      <c r="I9" s="38">
        <f t="shared" ref="I9:M9" si="1">I6+I7+I8</f>
        <v>830000</v>
      </c>
      <c r="J9" s="38">
        <f t="shared" si="1"/>
        <v>850000</v>
      </c>
      <c r="K9" s="38">
        <f t="shared" si="1"/>
        <v>900000</v>
      </c>
      <c r="L9" s="38">
        <f t="shared" si="1"/>
        <v>830000</v>
      </c>
      <c r="M9" s="38">
        <f t="shared" si="1"/>
        <v>850000</v>
      </c>
      <c r="N9" s="24"/>
      <c r="P9" s="30" t="s">
        <v>35</v>
      </c>
      <c r="Q9" s="31"/>
      <c r="R9" s="39">
        <v>0.25</v>
      </c>
      <c r="S9" s="40">
        <v>1.25</v>
      </c>
      <c r="T9" s="32">
        <f>G6/$Q$6</f>
        <v>3541.6666666666665</v>
      </c>
      <c r="U9" s="32">
        <f>T9*S9</f>
        <v>4427.083333333333</v>
      </c>
      <c r="V9" s="41">
        <v>0</v>
      </c>
      <c r="W9" s="42">
        <f>U9*V9</f>
        <v>0</v>
      </c>
      <c r="Y9" s="118"/>
    </row>
    <row r="10" spans="1:26" ht="13.5" thickBot="1" x14ac:dyDescent="0.25">
      <c r="A10" s="43">
        <v>77700</v>
      </c>
      <c r="B10" s="44" t="s">
        <v>36</v>
      </c>
      <c r="C10" s="45"/>
      <c r="D10" s="46">
        <f>737717*2</f>
        <v>1475434</v>
      </c>
      <c r="E10" s="47">
        <v>88211</v>
      </c>
      <c r="F10" s="47">
        <v>88211</v>
      </c>
      <c r="G10" s="47">
        <v>88211</v>
      </c>
      <c r="H10" s="47">
        <v>88211</v>
      </c>
      <c r="I10" s="47">
        <v>88211</v>
      </c>
      <c r="J10" s="47">
        <v>88211</v>
      </c>
      <c r="K10" s="47">
        <v>88211</v>
      </c>
      <c r="L10" s="47">
        <v>88211</v>
      </c>
      <c r="M10" s="47">
        <v>88211</v>
      </c>
      <c r="N10" s="24"/>
      <c r="P10" s="30" t="s">
        <v>37</v>
      </c>
      <c r="Q10" s="31"/>
      <c r="R10" s="39">
        <v>0.75</v>
      </c>
      <c r="S10" s="40">
        <v>1.75</v>
      </c>
      <c r="T10" s="32">
        <f>$E$6/$Q$6</f>
        <v>3255.1750000000002</v>
      </c>
      <c r="U10" s="32">
        <f>T10*S10</f>
        <v>5696.5562500000005</v>
      </c>
      <c r="V10" s="41">
        <v>0</v>
      </c>
      <c r="W10" s="42">
        <f>U10*V10</f>
        <v>0</v>
      </c>
      <c r="X10" s="13" t="s">
        <v>152</v>
      </c>
      <c r="Y10" s="119"/>
    </row>
    <row r="11" spans="1:26" ht="13.5" thickBot="1" x14ac:dyDescent="0.25">
      <c r="B11" s="21" t="s">
        <v>38</v>
      </c>
      <c r="C11" s="22"/>
      <c r="D11" s="22"/>
      <c r="E11" s="38">
        <f>E9+E10</f>
        <v>869453</v>
      </c>
      <c r="F11" s="38">
        <f>F9+F10</f>
        <v>478832</v>
      </c>
      <c r="G11" s="38">
        <f t="shared" ref="G11:K11" si="2">G9+G10</f>
        <v>938211</v>
      </c>
      <c r="H11" s="38">
        <f t="shared" ref="H11" si="3">H9+H10</f>
        <v>869453</v>
      </c>
      <c r="I11" s="38">
        <f t="shared" si="2"/>
        <v>918211</v>
      </c>
      <c r="J11" s="38">
        <f t="shared" si="2"/>
        <v>938211</v>
      </c>
      <c r="K11" s="38">
        <f t="shared" si="2"/>
        <v>988211</v>
      </c>
      <c r="L11" s="38">
        <f>L9+L10</f>
        <v>918211</v>
      </c>
      <c r="M11" s="38">
        <f>M9+M10</f>
        <v>938211</v>
      </c>
      <c r="N11" s="24"/>
      <c r="P11" s="30" t="s">
        <v>39</v>
      </c>
      <c r="Q11" s="31"/>
      <c r="R11" s="39">
        <v>1</v>
      </c>
      <c r="S11" s="40">
        <v>2</v>
      </c>
      <c r="T11" s="32">
        <f>E6/$Q$6</f>
        <v>3255.1750000000002</v>
      </c>
      <c r="U11" s="32">
        <f>T11*S11</f>
        <v>6510.35</v>
      </c>
      <c r="V11" s="41">
        <v>0</v>
      </c>
      <c r="W11" s="42">
        <f t="shared" ref="W11:W12" si="4">U11*V11</f>
        <v>0</v>
      </c>
      <c r="X11" s="43">
        <f>+W19</f>
        <v>282115.16666666663</v>
      </c>
      <c r="Y11" s="118"/>
    </row>
    <row r="12" spans="1:26" ht="13.5" thickBot="1" x14ac:dyDescent="0.25">
      <c r="P12" s="30" t="s">
        <v>40</v>
      </c>
      <c r="Q12" s="31"/>
      <c r="R12" s="39">
        <v>1.5</v>
      </c>
      <c r="S12" s="40">
        <v>2.5</v>
      </c>
      <c r="T12" s="32">
        <f>$E$6/$Q$6</f>
        <v>3255.1750000000002</v>
      </c>
      <c r="U12" s="32">
        <f>T12*S12</f>
        <v>8137.9375</v>
      </c>
      <c r="V12" s="41">
        <v>0</v>
      </c>
      <c r="W12" s="42">
        <f t="shared" si="4"/>
        <v>0</v>
      </c>
      <c r="X12" s="43">
        <v>0</v>
      </c>
      <c r="Y12" s="120" t="s">
        <v>82</v>
      </c>
    </row>
    <row r="13" spans="1:26" ht="13.5" thickBot="1" x14ac:dyDescent="0.25">
      <c r="B13" s="48" t="s">
        <v>41</v>
      </c>
      <c r="C13" s="49"/>
      <c r="D13" s="50"/>
      <c r="E13" s="51"/>
      <c r="F13" s="51"/>
      <c r="G13" s="51"/>
      <c r="H13" s="51"/>
      <c r="I13" s="51"/>
      <c r="J13" s="51"/>
      <c r="K13" s="51"/>
      <c r="L13" s="51"/>
      <c r="M13" s="51"/>
      <c r="N13" s="52"/>
      <c r="P13" s="34" t="s">
        <v>42</v>
      </c>
      <c r="Q13" s="31"/>
      <c r="R13" s="31"/>
      <c r="S13" s="40"/>
      <c r="T13" s="32"/>
      <c r="U13" s="32"/>
      <c r="V13" s="53"/>
      <c r="W13" s="42">
        <f>SUM(W9:W12)</f>
        <v>0</v>
      </c>
      <c r="X13" s="43">
        <f>X11+X12</f>
        <v>282115.16666666663</v>
      </c>
      <c r="Y13" s="13" t="s">
        <v>83</v>
      </c>
    </row>
    <row r="14" spans="1:26" x14ac:dyDescent="0.2">
      <c r="B14" s="54" t="s">
        <v>43</v>
      </c>
      <c r="C14" s="55"/>
      <c r="D14" s="56">
        <v>8.3299999999999999E-2</v>
      </c>
      <c r="E14" s="57">
        <f>E11*$D$14</f>
        <v>72425.434899999993</v>
      </c>
      <c r="F14" s="57">
        <f>F11*$D$14</f>
        <v>39886.705600000001</v>
      </c>
      <c r="G14" s="57">
        <f t="shared" ref="G14:K14" si="5">G11*$D$14</f>
        <v>78152.976299999995</v>
      </c>
      <c r="H14" s="57">
        <f t="shared" ref="H14" si="6">H11*$D$14</f>
        <v>72425.434899999993</v>
      </c>
      <c r="I14" s="57">
        <f t="shared" si="5"/>
        <v>76486.976299999995</v>
      </c>
      <c r="J14" s="57">
        <f t="shared" si="5"/>
        <v>78152.976299999995</v>
      </c>
      <c r="K14" s="57">
        <f t="shared" si="5"/>
        <v>82317.976299999995</v>
      </c>
      <c r="L14" s="57">
        <f>$L$11*D14</f>
        <v>76486.976299999995</v>
      </c>
      <c r="M14" s="57">
        <f>$M$11*D14</f>
        <v>78152.976299999995</v>
      </c>
      <c r="N14" s="58"/>
      <c r="P14" s="30"/>
      <c r="Q14" s="31"/>
      <c r="R14" s="31"/>
      <c r="S14" s="31"/>
      <c r="T14" s="32"/>
      <c r="U14" s="32"/>
      <c r="V14" s="31"/>
      <c r="W14" s="33"/>
      <c r="X14" s="43">
        <v>31</v>
      </c>
      <c r="Y14" s="118" t="s">
        <v>87</v>
      </c>
    </row>
    <row r="15" spans="1:26" x14ac:dyDescent="0.2">
      <c r="B15" s="59" t="s">
        <v>44</v>
      </c>
      <c r="C15" s="60"/>
      <c r="D15" s="61">
        <v>8.3299999999999999E-2</v>
      </c>
      <c r="E15" s="57">
        <f>E11*$D$15</f>
        <v>72425.434899999993</v>
      </c>
      <c r="F15" s="57">
        <f>F11*$D$15</f>
        <v>39886.705600000001</v>
      </c>
      <c r="G15" s="57">
        <f t="shared" ref="G15:K15" si="7">G11*$D$15</f>
        <v>78152.976299999995</v>
      </c>
      <c r="H15" s="57">
        <f t="shared" ref="H15" si="8">H11*$D$15</f>
        <v>72425.434899999993</v>
      </c>
      <c r="I15" s="57">
        <f t="shared" si="7"/>
        <v>76486.976299999995</v>
      </c>
      <c r="J15" s="57">
        <f t="shared" si="7"/>
        <v>78152.976299999995</v>
      </c>
      <c r="K15" s="57">
        <f t="shared" si="7"/>
        <v>82317.976299999995</v>
      </c>
      <c r="L15" s="57">
        <f>$L$11*D15</f>
        <v>76486.976299999995</v>
      </c>
      <c r="M15" s="57">
        <f>M11*D15</f>
        <v>78152.976299999995</v>
      </c>
      <c r="N15" s="58"/>
      <c r="P15" s="34" t="s">
        <v>27</v>
      </c>
      <c r="Q15" s="31"/>
      <c r="R15" s="31"/>
      <c r="S15" s="40"/>
      <c r="T15" s="32"/>
      <c r="U15" s="32"/>
      <c r="V15" s="53"/>
      <c r="W15" s="42"/>
      <c r="X15" s="43">
        <f>X13*X14</f>
        <v>8745570.166666666</v>
      </c>
    </row>
    <row r="16" spans="1:26" x14ac:dyDescent="0.2">
      <c r="B16" s="59" t="s">
        <v>45</v>
      </c>
      <c r="C16" s="60"/>
      <c r="D16" s="62">
        <v>4.3400000000000001E-2</v>
      </c>
      <c r="E16" s="57">
        <f>E9*$D$16</f>
        <v>33905.902800000003</v>
      </c>
      <c r="F16" s="57">
        <f>F9*$D$16</f>
        <v>16952.951400000002</v>
      </c>
      <c r="G16" s="57">
        <f t="shared" ref="G16:L16" si="9">G9*$D$16</f>
        <v>36890</v>
      </c>
      <c r="H16" s="57">
        <f t="shared" ref="H16" si="10">H9*$D$16</f>
        <v>33905.902800000003</v>
      </c>
      <c r="I16" s="57">
        <f t="shared" si="9"/>
        <v>36022</v>
      </c>
      <c r="J16" s="57">
        <f t="shared" si="9"/>
        <v>36890</v>
      </c>
      <c r="K16" s="57">
        <f t="shared" si="9"/>
        <v>39060</v>
      </c>
      <c r="L16" s="57">
        <f t="shared" si="9"/>
        <v>36022</v>
      </c>
      <c r="M16" s="57">
        <f>M9*$D$16</f>
        <v>36890</v>
      </c>
      <c r="N16" s="58"/>
      <c r="P16" s="30" t="s">
        <v>46</v>
      </c>
      <c r="Q16" s="31"/>
      <c r="R16" s="39">
        <v>0.35</v>
      </c>
      <c r="S16" s="40">
        <v>0.35</v>
      </c>
      <c r="T16" s="32">
        <f>E$6/$Q$6</f>
        <v>3255.1750000000002</v>
      </c>
      <c r="U16" s="32">
        <f>T16*S16</f>
        <v>1139.31125</v>
      </c>
      <c r="V16" s="41">
        <f>40*Q23</f>
        <v>173.33333333333331</v>
      </c>
      <c r="W16" s="42">
        <f>V16*U16</f>
        <v>197480.61666666664</v>
      </c>
      <c r="X16" s="162">
        <v>6</v>
      </c>
      <c r="Y16" s="118" t="s">
        <v>81</v>
      </c>
      <c r="Z16" s="118"/>
    </row>
    <row r="17" spans="2:25" ht="13.5" thickBot="1" x14ac:dyDescent="0.25">
      <c r="B17" s="63" t="s">
        <v>47</v>
      </c>
      <c r="C17" s="64"/>
      <c r="D17" s="65">
        <v>0.01</v>
      </c>
      <c r="E17" s="57">
        <f>E11*$D$17</f>
        <v>8694.5300000000007</v>
      </c>
      <c r="F17" s="57">
        <f>F11*$D$17</f>
        <v>4788.32</v>
      </c>
      <c r="G17" s="57">
        <f t="shared" ref="G17:K17" si="11">G11*$D$17</f>
        <v>9382.11</v>
      </c>
      <c r="H17" s="57">
        <f t="shared" ref="H17" si="12">H11*$D$17</f>
        <v>8694.5300000000007</v>
      </c>
      <c r="I17" s="57">
        <f t="shared" si="11"/>
        <v>9182.11</v>
      </c>
      <c r="J17" s="57">
        <f t="shared" si="11"/>
        <v>9382.11</v>
      </c>
      <c r="K17" s="57">
        <f t="shared" si="11"/>
        <v>9882.11</v>
      </c>
      <c r="L17" s="57">
        <f>$L$11*D17</f>
        <v>9182.11</v>
      </c>
      <c r="M17" s="57">
        <f>M11*D17</f>
        <v>9382.11</v>
      </c>
      <c r="N17" s="58"/>
      <c r="P17" s="66" t="s">
        <v>48</v>
      </c>
      <c r="Q17" s="31"/>
      <c r="R17" s="39">
        <v>0.75</v>
      </c>
      <c r="S17" s="40">
        <v>0.75</v>
      </c>
      <c r="T17" s="32">
        <f t="shared" ref="T17:T18" si="13">E$6/$Q$6</f>
        <v>3255.1750000000002</v>
      </c>
      <c r="U17" s="32">
        <f>T17*S17</f>
        <v>2441.3812500000004</v>
      </c>
      <c r="V17" s="41">
        <f>8*R27</f>
        <v>34.666666666666664</v>
      </c>
      <c r="W17" s="42">
        <f>V17*U17</f>
        <v>84634.55</v>
      </c>
      <c r="X17" s="43">
        <f>X15*X16</f>
        <v>52473421</v>
      </c>
    </row>
    <row r="18" spans="2:25" ht="13.5" thickBot="1" x14ac:dyDescent="0.25">
      <c r="B18" s="67" t="s">
        <v>49</v>
      </c>
      <c r="C18" s="68"/>
      <c r="D18" s="69">
        <f>SUM(D14:D17)</f>
        <v>0.22</v>
      </c>
      <c r="E18" s="70">
        <f>SUM(E14:E17)</f>
        <v>187451.3026</v>
      </c>
      <c r="F18" s="70">
        <f>SUM(F14:F17)</f>
        <v>101514.6826</v>
      </c>
      <c r="G18" s="70">
        <f t="shared" ref="G18:K18" si="14">SUM(G14:G17)</f>
        <v>202578.0626</v>
      </c>
      <c r="H18" s="70">
        <f t="shared" ref="H18" si="15">SUM(H14:H17)</f>
        <v>187451.3026</v>
      </c>
      <c r="I18" s="70">
        <f t="shared" si="14"/>
        <v>198178.0626</v>
      </c>
      <c r="J18" s="70">
        <f t="shared" si="14"/>
        <v>202578.0626</v>
      </c>
      <c r="K18" s="70">
        <f t="shared" si="14"/>
        <v>213578.0626</v>
      </c>
      <c r="L18" s="70">
        <f>SUM(L14:L17)</f>
        <v>198178.0626</v>
      </c>
      <c r="M18" s="70">
        <f>SUM(M14:M17)</f>
        <v>202578.0626</v>
      </c>
      <c r="N18" s="71"/>
      <c r="P18" s="30" t="s">
        <v>50</v>
      </c>
      <c r="Q18" s="31"/>
      <c r="R18" s="39">
        <v>1.1000000000000001</v>
      </c>
      <c r="S18" s="40">
        <v>1.1000000000000001</v>
      </c>
      <c r="T18" s="32">
        <f t="shared" si="13"/>
        <v>3255.1750000000002</v>
      </c>
      <c r="U18" s="32">
        <f t="shared" ref="U18" si="16">T18*S18</f>
        <v>3580.6925000000006</v>
      </c>
      <c r="V18" s="41">
        <v>0</v>
      </c>
      <c r="W18" s="42">
        <f t="shared" ref="W18" si="17">V18*U18</f>
        <v>0</v>
      </c>
      <c r="Y18" s="118"/>
    </row>
    <row r="19" spans="2:25" ht="13.5" thickBot="1" x14ac:dyDescent="0.25">
      <c r="E19" s="72"/>
      <c r="F19" s="72"/>
      <c r="G19" s="72"/>
      <c r="H19" s="72"/>
      <c r="I19" s="72"/>
      <c r="J19" s="72"/>
      <c r="K19" s="72"/>
      <c r="O19" s="13" t="s">
        <v>51</v>
      </c>
      <c r="P19" s="73" t="s">
        <v>52</v>
      </c>
      <c r="Q19" s="74"/>
      <c r="R19" s="74"/>
      <c r="S19" s="74"/>
      <c r="T19" s="75"/>
      <c r="U19" s="75"/>
      <c r="V19" s="74"/>
      <c r="W19" s="76">
        <f>SUM(W16:W18)</f>
        <v>282115.16666666663</v>
      </c>
      <c r="Y19" s="118"/>
    </row>
    <row r="20" spans="2:25" ht="13.5" thickBot="1" x14ac:dyDescent="0.25">
      <c r="B20" s="48" t="s">
        <v>53</v>
      </c>
      <c r="C20" s="49"/>
      <c r="D20" s="77"/>
      <c r="E20" s="78"/>
      <c r="F20" s="78"/>
      <c r="G20" s="78"/>
      <c r="H20" s="78"/>
      <c r="I20" s="78"/>
      <c r="J20" s="78"/>
      <c r="K20" s="78"/>
      <c r="L20" s="78"/>
      <c r="M20" s="78"/>
      <c r="N20" s="79"/>
      <c r="T20" s="13"/>
      <c r="U20" s="13"/>
      <c r="X20" s="43"/>
      <c r="Y20" s="118"/>
    </row>
    <row r="21" spans="2:25" x14ac:dyDescent="0.2">
      <c r="B21" s="54" t="s">
        <v>54</v>
      </c>
      <c r="C21" s="55"/>
      <c r="D21" s="56"/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8"/>
      <c r="T21" s="13"/>
      <c r="U21" s="13"/>
      <c r="X21" s="43"/>
      <c r="Y21" s="120"/>
    </row>
    <row r="22" spans="2:25" ht="13.5" thickBot="1" x14ac:dyDescent="0.25">
      <c r="B22" s="63" t="s">
        <v>55</v>
      </c>
      <c r="C22" s="64"/>
      <c r="D22" s="65">
        <v>0.12</v>
      </c>
      <c r="E22" s="80">
        <f>E9*$D$22</f>
        <v>93749.04</v>
      </c>
      <c r="F22" s="80">
        <f>F6*$D$22</f>
        <v>93749.04</v>
      </c>
      <c r="G22" s="80">
        <f t="shared" ref="G22:K22" si="18">G9*$D$22</f>
        <v>102000</v>
      </c>
      <c r="H22" s="80">
        <f t="shared" ref="H22" si="19">H9*$D$22</f>
        <v>93749.04</v>
      </c>
      <c r="I22" s="80">
        <f t="shared" si="18"/>
        <v>99600</v>
      </c>
      <c r="J22" s="80">
        <f t="shared" si="18"/>
        <v>102000</v>
      </c>
      <c r="K22" s="80">
        <f t="shared" si="18"/>
        <v>108000</v>
      </c>
      <c r="L22" s="80">
        <f>L9*$D$22</f>
        <v>99600</v>
      </c>
      <c r="M22" s="80">
        <f>M9*$D$22</f>
        <v>102000</v>
      </c>
      <c r="N22" s="58"/>
      <c r="P22" s="13" t="s">
        <v>56</v>
      </c>
      <c r="Q22" s="13">
        <v>52</v>
      </c>
      <c r="T22" s="13"/>
      <c r="U22" s="13"/>
      <c r="X22" s="43"/>
    </row>
    <row r="23" spans="2:25" ht="13.5" thickBot="1" x14ac:dyDescent="0.25">
      <c r="B23" s="81" t="s">
        <v>57</v>
      </c>
      <c r="C23" s="82"/>
      <c r="D23" s="83"/>
      <c r="E23" s="84">
        <v>2</v>
      </c>
      <c r="F23" s="84">
        <v>2</v>
      </c>
      <c r="G23" s="84">
        <v>3</v>
      </c>
      <c r="H23" s="84">
        <v>3</v>
      </c>
      <c r="I23" s="84">
        <v>3</v>
      </c>
      <c r="J23" s="84">
        <v>2</v>
      </c>
      <c r="K23" s="84">
        <v>2</v>
      </c>
      <c r="L23" s="84">
        <v>3</v>
      </c>
      <c r="M23" s="84">
        <v>3</v>
      </c>
      <c r="N23" s="58"/>
      <c r="P23" s="15" t="s">
        <v>58</v>
      </c>
      <c r="Q23" s="85">
        <f>Q22/12</f>
        <v>4.333333333333333</v>
      </c>
      <c r="T23" s="13"/>
      <c r="U23" s="13"/>
      <c r="X23" s="43"/>
      <c r="Y23" s="118"/>
    </row>
    <row r="24" spans="2:25" x14ac:dyDescent="0.2">
      <c r="B24" s="218" t="s">
        <v>59</v>
      </c>
      <c r="C24" s="82">
        <v>1</v>
      </c>
      <c r="D24" s="83">
        <v>5.2199999999999998E-3</v>
      </c>
      <c r="E24" s="57">
        <f>IF(E23=1,(E9*$D$24),(E9*0))</f>
        <v>0</v>
      </c>
      <c r="F24" s="57">
        <f>IF(F23=1,(F9*$D$24),(F9*0))</f>
        <v>0</v>
      </c>
      <c r="G24" s="57">
        <f t="shared" ref="G24:K24" si="20">IF(G23=1,(G9*$D$24),(G9*0))</f>
        <v>0</v>
      </c>
      <c r="H24" s="57">
        <f t="shared" ref="H24" si="21">IF(H23=1,(H9*$D$24),(H9*0))</f>
        <v>0</v>
      </c>
      <c r="I24" s="57">
        <f t="shared" si="20"/>
        <v>0</v>
      </c>
      <c r="J24" s="57">
        <f t="shared" si="20"/>
        <v>0</v>
      </c>
      <c r="K24" s="57">
        <f t="shared" si="20"/>
        <v>0</v>
      </c>
      <c r="L24" s="57">
        <f>IF(L23=1,(L9*$D$24),(L9*0))</f>
        <v>0</v>
      </c>
      <c r="M24" s="57">
        <f>IF(M23=1,(M9*$D$24),(M9*0))</f>
        <v>0</v>
      </c>
      <c r="N24" s="58"/>
      <c r="P24" s="15"/>
      <c r="T24" s="13"/>
      <c r="U24" s="13"/>
      <c r="X24" s="43"/>
    </row>
    <row r="25" spans="2:25" x14ac:dyDescent="0.2">
      <c r="B25" s="219"/>
      <c r="C25" s="87">
        <v>2</v>
      </c>
      <c r="D25" s="88">
        <v>1.044E-2</v>
      </c>
      <c r="E25" s="57">
        <f>IF(E23=2,(E9*$D$25),(E9*0))</f>
        <v>8156.1664799999999</v>
      </c>
      <c r="F25" s="57">
        <f>IF(F23=2,(F6*$D$25),(F6*0))</f>
        <v>8156.1664799999999</v>
      </c>
      <c r="G25" s="57">
        <f t="shared" ref="G25:K25" si="22">IF(G23=2,(G9*$D$25),(G9*0))</f>
        <v>0</v>
      </c>
      <c r="H25" s="57">
        <f t="shared" ref="H25" si="23">IF(H23=2,(H9*$D$25),(H9*0))</f>
        <v>0</v>
      </c>
      <c r="I25" s="57">
        <f t="shared" si="22"/>
        <v>0</v>
      </c>
      <c r="J25" s="57">
        <f t="shared" si="22"/>
        <v>8874</v>
      </c>
      <c r="K25" s="57">
        <f t="shared" si="22"/>
        <v>9396</v>
      </c>
      <c r="L25" s="57">
        <f>IF(L23=2,(L9*$D$25),(L9*0))</f>
        <v>0</v>
      </c>
      <c r="M25" s="57">
        <f>IF(M23=2,(M9*$D$25),(M9*0))</f>
        <v>0</v>
      </c>
      <c r="N25" s="58"/>
      <c r="P25" s="86" t="s">
        <v>60</v>
      </c>
      <c r="T25" s="13"/>
      <c r="U25" s="13"/>
      <c r="X25" s="162"/>
      <c r="Y25" s="118"/>
    </row>
    <row r="26" spans="2:25" x14ac:dyDescent="0.2">
      <c r="B26" s="219"/>
      <c r="C26" s="87">
        <v>3</v>
      </c>
      <c r="D26" s="89">
        <v>2.436E-2</v>
      </c>
      <c r="E26" s="57">
        <f>IF(E23=3,(E9*$D$26),(E9*0))</f>
        <v>0</v>
      </c>
      <c r="F26" s="57">
        <f>IF(F23=3,(F9*$D$26),(F9*0))</f>
        <v>0</v>
      </c>
      <c r="G26" s="57">
        <f t="shared" ref="G26:K26" si="24">IF(G23=3,(G9*$D$26),(G9*0))</f>
        <v>20706</v>
      </c>
      <c r="H26" s="57">
        <f t="shared" ref="H26" si="25">IF(H23=3,(H9*$D$26),(H9*0))</f>
        <v>19031.055120000001</v>
      </c>
      <c r="I26" s="57">
        <f t="shared" si="24"/>
        <v>20218.8</v>
      </c>
      <c r="J26" s="57">
        <f t="shared" si="24"/>
        <v>0</v>
      </c>
      <c r="K26" s="57">
        <f t="shared" si="24"/>
        <v>0</v>
      </c>
      <c r="L26" s="57">
        <f>IF(L23=3,(L9*$D$26),(L9*0))</f>
        <v>20218.8</v>
      </c>
      <c r="M26" s="57">
        <f>IF(M23=3,(M9*$D$26),(M9*0))</f>
        <v>20706</v>
      </c>
      <c r="N26" s="58" t="s">
        <v>51</v>
      </c>
      <c r="R26" s="13" t="s">
        <v>61</v>
      </c>
      <c r="T26" s="13"/>
      <c r="U26" s="13"/>
      <c r="X26" s="43"/>
    </row>
    <row r="27" spans="2:25" ht="15" x14ac:dyDescent="0.25">
      <c r="B27" s="219"/>
      <c r="C27" s="87">
        <v>4</v>
      </c>
      <c r="D27" s="89">
        <v>4.3499999999999997E-2</v>
      </c>
      <c r="E27" s="57">
        <f>IF(E23=4,(E9*$D$27),(E9*0))</f>
        <v>0</v>
      </c>
      <c r="F27" s="57">
        <f>IF(F23=4,(F9*$D$27),(F9*0))</f>
        <v>0</v>
      </c>
      <c r="G27" s="57">
        <f t="shared" ref="G27:M27" si="26">IF(G23=4,(G9*$D$27),(G9*0))</f>
        <v>0</v>
      </c>
      <c r="H27" s="57">
        <f t="shared" ref="H27" si="27">IF(H23=4,(H9*$D$27),(H9*0))</f>
        <v>0</v>
      </c>
      <c r="I27" s="57">
        <f t="shared" si="26"/>
        <v>0</v>
      </c>
      <c r="J27" s="57">
        <f t="shared" si="26"/>
        <v>0</v>
      </c>
      <c r="K27" s="57">
        <f t="shared" si="26"/>
        <v>0</v>
      </c>
      <c r="L27" s="57">
        <f t="shared" si="26"/>
        <v>0</v>
      </c>
      <c r="M27" s="57">
        <f t="shared" si="26"/>
        <v>0</v>
      </c>
      <c r="N27" s="58"/>
      <c r="P27" s="13" t="s">
        <v>62</v>
      </c>
      <c r="Q27" s="13">
        <v>52</v>
      </c>
      <c r="R27" s="13">
        <f>Q27/12</f>
        <v>4.333333333333333</v>
      </c>
      <c r="S27"/>
      <c r="T27" s="221"/>
      <c r="U27" s="221"/>
      <c r="V27" s="221"/>
      <c r="W27" s="221"/>
      <c r="X27" s="118"/>
    </row>
    <row r="28" spans="2:25" ht="15.75" thickBot="1" x14ac:dyDescent="0.3">
      <c r="B28" s="220"/>
      <c r="C28" s="90">
        <v>5</v>
      </c>
      <c r="D28" s="91">
        <v>6.9599999999999995E-2</v>
      </c>
      <c r="E28" s="57">
        <f>IF(E23=5,(E9*$D$28),(E9*0))</f>
        <v>0</v>
      </c>
      <c r="F28" s="57">
        <f>IF(F23=5,(F9*$D$28),(F9*0))</f>
        <v>0</v>
      </c>
      <c r="G28" s="57">
        <f t="shared" ref="G28:M28" si="28">IF(G23=5,(G9*$D$28),(G9*0))</f>
        <v>0</v>
      </c>
      <c r="H28" s="57">
        <f t="shared" ref="H28" si="29">IF(H23=5,(H9*$D$28),(H9*0))</f>
        <v>0</v>
      </c>
      <c r="I28" s="57">
        <f t="shared" si="28"/>
        <v>0</v>
      </c>
      <c r="J28" s="57">
        <f t="shared" si="28"/>
        <v>0</v>
      </c>
      <c r="K28" s="57">
        <f t="shared" si="28"/>
        <v>0</v>
      </c>
      <c r="L28" s="57">
        <f t="shared" si="28"/>
        <v>0</v>
      </c>
      <c r="M28" s="57">
        <f t="shared" si="28"/>
        <v>0</v>
      </c>
      <c r="N28" s="58"/>
      <c r="P28" s="92" t="s">
        <v>63</v>
      </c>
      <c r="Q28" s="13">
        <v>18</v>
      </c>
      <c r="R28" s="13">
        <f>Q28/12</f>
        <v>1.5</v>
      </c>
      <c r="S28"/>
      <c r="T28" s="221"/>
      <c r="U28" s="221"/>
      <c r="V28" s="221"/>
      <c r="W28" s="221"/>
      <c r="X28" s="118"/>
    </row>
    <row r="29" spans="2:25" ht="15.75" thickBot="1" x14ac:dyDescent="0.3">
      <c r="B29" s="67" t="s">
        <v>64</v>
      </c>
      <c r="C29" s="68"/>
      <c r="D29" s="93">
        <f>D21+D22+D25</f>
        <v>0.13044</v>
      </c>
      <c r="E29" s="94">
        <f>E21+E22+E24+E25+E26+E27+E28</f>
        <v>101905.20647999999</v>
      </c>
      <c r="F29" s="94">
        <f>F21+F22+F24+F25+F26+F27+F28</f>
        <v>101905.20647999999</v>
      </c>
      <c r="G29" s="94">
        <f t="shared" ref="G29:M29" si="30">G21+G22+G24+G25+G26+G27+G28</f>
        <v>122706</v>
      </c>
      <c r="H29" s="94">
        <f t="shared" ref="H29" si="31">H21+H22+H24+H25+H26+H27+H28</f>
        <v>112780.09512</v>
      </c>
      <c r="I29" s="94">
        <f t="shared" si="30"/>
        <v>119818.8</v>
      </c>
      <c r="J29" s="94">
        <f t="shared" si="30"/>
        <v>110874</v>
      </c>
      <c r="K29" s="94">
        <f t="shared" si="30"/>
        <v>117396</v>
      </c>
      <c r="L29" s="94">
        <f t="shared" si="30"/>
        <v>119818.8</v>
      </c>
      <c r="M29" s="94">
        <f t="shared" si="30"/>
        <v>122706</v>
      </c>
      <c r="N29" s="71"/>
      <c r="P29" s="86" t="s">
        <v>33</v>
      </c>
      <c r="R29" s="85">
        <f>SUM(R27:R28)</f>
        <v>5.833333333333333</v>
      </c>
      <c r="S29"/>
      <c r="T29" s="221"/>
      <c r="U29" s="221"/>
      <c r="V29" s="221"/>
      <c r="W29" s="221"/>
    </row>
    <row r="30" spans="2:25" ht="15.75" thickBot="1" x14ac:dyDescent="0.3">
      <c r="S30"/>
      <c r="T30"/>
      <c r="U30"/>
      <c r="V30"/>
      <c r="W30"/>
      <c r="X30" s="13" t="s">
        <v>156</v>
      </c>
    </row>
    <row r="31" spans="2:25" ht="15.75" thickBot="1" x14ac:dyDescent="0.3">
      <c r="B31" s="48" t="s">
        <v>65</v>
      </c>
      <c r="C31" s="49"/>
      <c r="D31" s="77"/>
      <c r="E31" s="78"/>
      <c r="F31" s="78"/>
      <c r="G31" s="78"/>
      <c r="H31" s="78"/>
      <c r="I31" s="78"/>
      <c r="J31" s="78"/>
      <c r="K31" s="78"/>
      <c r="L31" s="78"/>
      <c r="M31" s="78"/>
      <c r="N31" s="79"/>
      <c r="P31"/>
      <c r="Q31"/>
      <c r="R31"/>
      <c r="S31"/>
      <c r="T31"/>
      <c r="U31"/>
      <c r="V31"/>
      <c r="W31"/>
      <c r="X31" s="43">
        <f>+W49</f>
        <v>282115.16666666663</v>
      </c>
      <c r="Y31" s="118"/>
    </row>
    <row r="32" spans="2:25" ht="15" x14ac:dyDescent="0.25">
      <c r="B32" s="54" t="s">
        <v>66</v>
      </c>
      <c r="C32" s="55"/>
      <c r="D32" s="56"/>
      <c r="E32" s="95"/>
      <c r="F32" s="95"/>
      <c r="G32" s="95"/>
      <c r="H32" s="95"/>
      <c r="I32" s="95"/>
      <c r="J32" s="95"/>
      <c r="K32" s="95"/>
      <c r="L32" s="95">
        <v>0</v>
      </c>
      <c r="M32" s="95">
        <v>0</v>
      </c>
      <c r="N32" s="96"/>
      <c r="P32"/>
      <c r="Q32"/>
      <c r="R32"/>
      <c r="S32"/>
      <c r="T32"/>
      <c r="U32"/>
      <c r="V32"/>
      <c r="W32"/>
      <c r="X32" s="43">
        <v>0</v>
      </c>
      <c r="Y32" s="120" t="s">
        <v>82</v>
      </c>
    </row>
    <row r="33" spans="2:25" ht="15" x14ac:dyDescent="0.25">
      <c r="B33" s="59" t="s">
        <v>67</v>
      </c>
      <c r="C33" s="60"/>
      <c r="D33" s="61"/>
      <c r="E33" s="95"/>
      <c r="F33" s="95"/>
      <c r="G33" s="95"/>
      <c r="H33" s="95"/>
      <c r="I33" s="95"/>
      <c r="J33" s="95"/>
      <c r="K33" s="95"/>
      <c r="L33" s="95">
        <v>0</v>
      </c>
      <c r="M33" s="95">
        <v>0</v>
      </c>
      <c r="N33" s="96"/>
      <c r="P33"/>
      <c r="Q33"/>
      <c r="R33"/>
      <c r="S33"/>
      <c r="T33"/>
      <c r="U33"/>
      <c r="V33"/>
      <c r="W33"/>
      <c r="X33" s="43">
        <f>X31+X32</f>
        <v>282115.16666666663</v>
      </c>
      <c r="Y33" s="13" t="s">
        <v>83</v>
      </c>
    </row>
    <row r="34" spans="2:25" ht="15.75" thickBot="1" x14ac:dyDescent="0.3">
      <c r="B34" s="63" t="s">
        <v>68</v>
      </c>
      <c r="C34" s="64"/>
      <c r="D34" s="65">
        <v>0.04</v>
      </c>
      <c r="E34" s="95">
        <f>E9*$D$34</f>
        <v>31249.68</v>
      </c>
      <c r="F34" s="95">
        <f>F6*$D$34</f>
        <v>31249.68</v>
      </c>
      <c r="G34" s="95">
        <f t="shared" ref="G34:K34" si="32">G9*$D$34</f>
        <v>34000</v>
      </c>
      <c r="H34" s="95">
        <f t="shared" ref="H34" si="33">H9*$D$34</f>
        <v>31249.68</v>
      </c>
      <c r="I34" s="95">
        <f t="shared" si="32"/>
        <v>33200</v>
      </c>
      <c r="J34" s="95">
        <f t="shared" si="32"/>
        <v>34000</v>
      </c>
      <c r="K34" s="95">
        <f t="shared" si="32"/>
        <v>36000</v>
      </c>
      <c r="L34" s="95">
        <f>$L$9*D34</f>
        <v>33200</v>
      </c>
      <c r="M34" s="95">
        <f>M9*D34</f>
        <v>34000</v>
      </c>
      <c r="N34" s="96"/>
      <c r="P34"/>
      <c r="Q34"/>
      <c r="R34"/>
      <c r="S34"/>
      <c r="T34"/>
      <c r="U34"/>
      <c r="V34"/>
      <c r="W34"/>
      <c r="X34" s="43">
        <v>4</v>
      </c>
      <c r="Y34" s="118" t="s">
        <v>87</v>
      </c>
    </row>
    <row r="35" spans="2:25" ht="13.5" thickBot="1" x14ac:dyDescent="0.25">
      <c r="B35" s="67" t="s">
        <v>69</v>
      </c>
      <c r="C35" s="68"/>
      <c r="D35" s="69">
        <f>D32+D33+D34</f>
        <v>0.04</v>
      </c>
      <c r="E35" s="70">
        <f>SUM(E32:E34)</f>
        <v>31249.68</v>
      </c>
      <c r="F35" s="70">
        <f>SUM(F32:F34)</f>
        <v>31249.68</v>
      </c>
      <c r="G35" s="70">
        <f t="shared" ref="G35:K35" si="34">SUM(G32:G34)</f>
        <v>34000</v>
      </c>
      <c r="H35" s="70">
        <f t="shared" ref="H35" si="35">SUM(H32:H34)</f>
        <v>31249.68</v>
      </c>
      <c r="I35" s="70">
        <f t="shared" si="34"/>
        <v>33200</v>
      </c>
      <c r="J35" s="70">
        <f t="shared" si="34"/>
        <v>34000</v>
      </c>
      <c r="K35" s="70">
        <f t="shared" si="34"/>
        <v>36000</v>
      </c>
      <c r="L35" s="70">
        <f>SUM(L32:L34)</f>
        <v>33200</v>
      </c>
      <c r="M35" s="70">
        <f>SUM(M32:M34)</f>
        <v>34000</v>
      </c>
      <c r="N35" s="71"/>
      <c r="P35" s="20">
        <v>2016</v>
      </c>
      <c r="X35" s="43">
        <f>X33*X34</f>
        <v>1128460.6666666665</v>
      </c>
    </row>
    <row r="36" spans="2:25" ht="15.75" thickBot="1" x14ac:dyDescent="0.3">
      <c r="D36"/>
      <c r="P36" s="25" t="s">
        <v>25</v>
      </c>
      <c r="Q36" s="26">
        <v>240</v>
      </c>
      <c r="R36" s="27"/>
      <c r="S36" s="27"/>
      <c r="T36" s="28"/>
      <c r="U36" s="28"/>
      <c r="V36" s="27"/>
      <c r="W36" s="29"/>
      <c r="X36" s="162">
        <v>6</v>
      </c>
      <c r="Y36" s="118" t="s">
        <v>81</v>
      </c>
    </row>
    <row r="37" spans="2:25" ht="13.5" thickBot="1" x14ac:dyDescent="0.25">
      <c r="B37" s="48" t="s">
        <v>70</v>
      </c>
      <c r="C37" s="49"/>
      <c r="D37" s="69">
        <v>0.04</v>
      </c>
      <c r="E37" s="97">
        <f>+DOTACION!N25</f>
        <v>28688.442433383603</v>
      </c>
      <c r="F37" s="97">
        <f>+DOTACION!N25</f>
        <v>28688.442433383603</v>
      </c>
      <c r="G37" s="97">
        <f>+DOTACION!N25</f>
        <v>28688.442433383603</v>
      </c>
      <c r="H37" s="97">
        <f>+DOTACION!N25</f>
        <v>28688.442433383603</v>
      </c>
      <c r="I37" s="97">
        <f>+DOTACION!N25</f>
        <v>28688.442433383603</v>
      </c>
      <c r="J37" s="97">
        <f>+DOTACION!N25</f>
        <v>28688.442433383603</v>
      </c>
      <c r="K37" s="97">
        <f>+DOTACION!N25</f>
        <v>28688.442433383603</v>
      </c>
      <c r="L37" s="97">
        <f>+K37</f>
        <v>28688.442433383603</v>
      </c>
      <c r="M37" s="97">
        <f>+L37</f>
        <v>28688.442433383603</v>
      </c>
      <c r="N37" s="71"/>
      <c r="P37" s="30"/>
      <c r="Q37" s="31"/>
      <c r="R37" s="31"/>
      <c r="S37" s="31"/>
      <c r="T37" s="32"/>
      <c r="U37" s="32"/>
      <c r="V37" s="31"/>
      <c r="W37" s="33"/>
      <c r="X37" s="43">
        <f>X35*X36</f>
        <v>6770763.9999999991</v>
      </c>
    </row>
    <row r="38" spans="2:25" ht="13.5" thickBot="1" x14ac:dyDescent="0.25">
      <c r="P38" s="34" t="s">
        <v>28</v>
      </c>
      <c r="Q38" s="31"/>
      <c r="R38" s="31"/>
      <c r="S38" s="35" t="s">
        <v>29</v>
      </c>
      <c r="T38" s="35" t="s">
        <v>30</v>
      </c>
      <c r="U38" s="36" t="s">
        <v>31</v>
      </c>
      <c r="V38" s="36" t="s">
        <v>32</v>
      </c>
      <c r="W38" s="37" t="s">
        <v>33</v>
      </c>
    </row>
    <row r="39" spans="2:25" ht="13.5" thickBot="1" x14ac:dyDescent="0.25">
      <c r="B39" s="48" t="s">
        <v>71</v>
      </c>
      <c r="C39" s="49"/>
      <c r="D39" s="98">
        <f>N45/E11</f>
        <v>0.40174067087396742</v>
      </c>
      <c r="E39" s="99">
        <f>E18+E29+E35+E37</f>
        <v>349294.63151338359</v>
      </c>
      <c r="F39" s="99">
        <f>F18+F29+F35+F37</f>
        <v>263358.01151338359</v>
      </c>
      <c r="G39" s="78">
        <f t="shared" ref="G39:M39" si="36">G18+G29+G35+G37</f>
        <v>387972.50503338361</v>
      </c>
      <c r="H39" s="78">
        <f t="shared" ref="H39" si="37">H18+H29+H35+H37</f>
        <v>360169.52015338361</v>
      </c>
      <c r="I39" s="78">
        <f t="shared" si="36"/>
        <v>379885.3050333836</v>
      </c>
      <c r="J39" s="78">
        <f t="shared" si="36"/>
        <v>376140.50503338361</v>
      </c>
      <c r="K39" s="78">
        <f t="shared" si="36"/>
        <v>395662.50503338361</v>
      </c>
      <c r="L39" s="78">
        <f t="shared" si="36"/>
        <v>379885.3050333836</v>
      </c>
      <c r="M39" s="78">
        <f t="shared" si="36"/>
        <v>387972.50503338361</v>
      </c>
      <c r="N39" s="79"/>
      <c r="P39" s="30" t="s">
        <v>35</v>
      </c>
      <c r="Q39" s="31"/>
      <c r="R39" s="39">
        <v>0.25</v>
      </c>
      <c r="S39" s="40">
        <v>1.25</v>
      </c>
      <c r="T39" s="32">
        <f>G36/$Q$6</f>
        <v>0</v>
      </c>
      <c r="U39" s="32">
        <f>T39*S39</f>
        <v>0</v>
      </c>
      <c r="V39" s="41">
        <v>0</v>
      </c>
      <c r="W39" s="42">
        <f>U39*V39</f>
        <v>0</v>
      </c>
      <c r="Y39" s="15"/>
    </row>
    <row r="40" spans="2:25" ht="13.5" thickBot="1" x14ac:dyDescent="0.25">
      <c r="P40" s="30" t="s">
        <v>37</v>
      </c>
      <c r="Q40" s="31"/>
      <c r="R40" s="39">
        <v>0.75</v>
      </c>
      <c r="S40" s="40">
        <v>1.75</v>
      </c>
      <c r="T40" s="32">
        <f>$E$6/$Q$6</f>
        <v>3255.1750000000002</v>
      </c>
      <c r="U40" s="32">
        <f>T40*S40</f>
        <v>5696.5562500000005</v>
      </c>
      <c r="V40" s="41">
        <v>0</v>
      </c>
      <c r="W40" s="42">
        <f>U40*V40</f>
        <v>0</v>
      </c>
    </row>
    <row r="41" spans="2:25" ht="13.5" thickBot="1" x14ac:dyDescent="0.25">
      <c r="B41" s="48" t="s">
        <v>72</v>
      </c>
      <c r="C41" s="48"/>
      <c r="D41" s="100"/>
      <c r="E41" s="101">
        <v>1</v>
      </c>
      <c r="F41" s="101">
        <v>1</v>
      </c>
      <c r="G41" s="101">
        <v>1</v>
      </c>
      <c r="H41" s="101">
        <v>1</v>
      </c>
      <c r="I41" s="101">
        <v>1</v>
      </c>
      <c r="J41" s="101">
        <v>1</v>
      </c>
      <c r="K41" s="101">
        <v>1</v>
      </c>
      <c r="L41" s="102">
        <v>1</v>
      </c>
      <c r="M41" s="102">
        <v>1</v>
      </c>
      <c r="P41" s="30" t="s">
        <v>39</v>
      </c>
      <c r="Q41" s="31"/>
      <c r="R41" s="39">
        <v>1</v>
      </c>
      <c r="S41" s="40">
        <v>2</v>
      </c>
      <c r="T41" s="32">
        <f>E36/$Q$6</f>
        <v>0</v>
      </c>
      <c r="U41" s="32">
        <f>T41*S41</f>
        <v>0</v>
      </c>
      <c r="V41" s="41">
        <v>0</v>
      </c>
      <c r="W41" s="42">
        <f t="shared" ref="W41:W42" si="38">U41*V41</f>
        <v>0</v>
      </c>
    </row>
    <row r="42" spans="2:25" ht="13.5" thickBot="1" x14ac:dyDescent="0.25">
      <c r="P42" s="30" t="s">
        <v>40</v>
      </c>
      <c r="Q42" s="31"/>
      <c r="R42" s="39">
        <v>1.5</v>
      </c>
      <c r="S42" s="40">
        <v>2.5</v>
      </c>
      <c r="T42" s="32">
        <f>$E$6/$Q$6</f>
        <v>3255.1750000000002</v>
      </c>
      <c r="U42" s="32">
        <f>T42*S42</f>
        <v>8137.9375</v>
      </c>
      <c r="V42" s="41">
        <v>0</v>
      </c>
      <c r="W42" s="42">
        <f t="shared" si="38"/>
        <v>0</v>
      </c>
    </row>
    <row r="43" spans="2:25" ht="13.5" thickBot="1" x14ac:dyDescent="0.25">
      <c r="B43" s="103" t="s">
        <v>73</v>
      </c>
      <c r="C43" s="104"/>
      <c r="D43" s="105"/>
      <c r="E43" s="106">
        <f>E11+E39</f>
        <v>1218747.6315133837</v>
      </c>
      <c r="F43" s="106">
        <f>F11+F39</f>
        <v>742190.01151338359</v>
      </c>
      <c r="G43" s="106">
        <f t="shared" ref="G43:M43" si="39">G39+G11</f>
        <v>1326183.5050333836</v>
      </c>
      <c r="H43" s="106">
        <f t="shared" ref="H43" si="40">H39+H11</f>
        <v>1229622.5201533837</v>
      </c>
      <c r="I43" s="106">
        <f t="shared" si="39"/>
        <v>1298096.3050333837</v>
      </c>
      <c r="J43" s="106">
        <f t="shared" si="39"/>
        <v>1314351.5050333836</v>
      </c>
      <c r="K43" s="106">
        <f t="shared" si="39"/>
        <v>1383873.5050333836</v>
      </c>
      <c r="L43" s="106">
        <f t="shared" si="39"/>
        <v>1298096.3050333837</v>
      </c>
      <c r="M43" s="106">
        <f t="shared" si="39"/>
        <v>1326183.5050333836</v>
      </c>
      <c r="N43" s="107"/>
      <c r="P43" s="34" t="s">
        <v>42</v>
      </c>
      <c r="Q43" s="31"/>
      <c r="R43" s="31"/>
      <c r="S43" s="40"/>
      <c r="T43" s="32"/>
      <c r="U43" s="32"/>
      <c r="V43" s="53"/>
      <c r="W43" s="42">
        <f>SUM(W39:W42)</f>
        <v>0</v>
      </c>
      <c r="Y43" s="43">
        <f>+X37+X17</f>
        <v>59244185</v>
      </c>
    </row>
    <row r="44" spans="2:25" ht="13.5" thickBot="1" x14ac:dyDescent="0.25">
      <c r="B44" s="21" t="s">
        <v>0</v>
      </c>
      <c r="C44" s="22"/>
      <c r="D44" s="205">
        <v>5.0000000000000001E-3</v>
      </c>
      <c r="E44" s="38">
        <f>E43*$D$44</f>
        <v>6093.7381575669187</v>
      </c>
      <c r="F44" s="38">
        <f>F43*$D$44</f>
        <v>3710.9500575669181</v>
      </c>
      <c r="G44" s="38">
        <f t="shared" ref="G44:M44" si="41">G43*$D$44</f>
        <v>6630.9175251669185</v>
      </c>
      <c r="H44" s="38">
        <f t="shared" ref="H44" si="42">H43*$D$44</f>
        <v>6148.1126007669191</v>
      </c>
      <c r="I44" s="38">
        <f t="shared" si="41"/>
        <v>6490.4815251669188</v>
      </c>
      <c r="J44" s="38">
        <f t="shared" si="41"/>
        <v>6571.7575251669186</v>
      </c>
      <c r="K44" s="38">
        <f t="shared" si="41"/>
        <v>6919.3675251669183</v>
      </c>
      <c r="L44" s="38">
        <f t="shared" si="41"/>
        <v>6490.4815251669188</v>
      </c>
      <c r="M44" s="38">
        <f t="shared" si="41"/>
        <v>6630.9175251669185</v>
      </c>
      <c r="N44" s="24">
        <f>E44/2</f>
        <v>3046.8690787834594</v>
      </c>
      <c r="O44" s="43">
        <f>N44*14</f>
        <v>42656.167102968429</v>
      </c>
      <c r="P44" s="30"/>
      <c r="Q44" s="31"/>
      <c r="R44" s="31"/>
      <c r="S44" s="31"/>
      <c r="T44" s="32"/>
      <c r="U44" s="32"/>
      <c r="V44" s="31"/>
      <c r="W44" s="33"/>
      <c r="Y44" s="43">
        <f>+Y43/6</f>
        <v>9874030.833333334</v>
      </c>
    </row>
    <row r="45" spans="2:25" ht="13.5" thickBot="1" x14ac:dyDescent="0.25">
      <c r="B45" s="21" t="s">
        <v>74</v>
      </c>
      <c r="C45" s="22"/>
      <c r="D45" s="108"/>
      <c r="E45" s="38">
        <f>E43+E44</f>
        <v>1224841.3696709506</v>
      </c>
      <c r="F45" s="38">
        <f>F43+F44</f>
        <v>745900.96157095046</v>
      </c>
      <c r="G45" s="38">
        <f t="shared" ref="G45:M45" si="43">G43+G44</f>
        <v>1332814.4225585505</v>
      </c>
      <c r="H45" s="38">
        <f>H43+H44</f>
        <v>1235770.6327541505</v>
      </c>
      <c r="I45" s="38">
        <f>I43+I44</f>
        <v>1304586.7865585505</v>
      </c>
      <c r="J45" s="38">
        <f>J43+J44</f>
        <v>1320923.2625585506</v>
      </c>
      <c r="K45" s="38">
        <f>K43+K44</f>
        <v>1390792.8725585504</v>
      </c>
      <c r="L45" s="38">
        <f t="shared" si="43"/>
        <v>1304586.7865585505</v>
      </c>
      <c r="M45" s="38">
        <f t="shared" si="43"/>
        <v>1332814.4225585505</v>
      </c>
      <c r="N45" s="78">
        <f>E18+E29+E35+E37</f>
        <v>349294.63151338359</v>
      </c>
      <c r="O45" s="13" t="s">
        <v>51</v>
      </c>
      <c r="P45" s="34" t="s">
        <v>27</v>
      </c>
      <c r="Q45" s="31"/>
      <c r="R45" s="31"/>
      <c r="S45" s="40"/>
      <c r="T45" s="32"/>
      <c r="U45" s="32"/>
      <c r="V45" s="53"/>
      <c r="W45" s="42"/>
    </row>
    <row r="46" spans="2:25" ht="15" x14ac:dyDescent="0.25">
      <c r="E46"/>
      <c r="F46"/>
      <c r="P46" s="30" t="s">
        <v>46</v>
      </c>
      <c r="Q46" s="31"/>
      <c r="R46" s="39">
        <v>0.35</v>
      </c>
      <c r="S46" s="40">
        <v>0.35</v>
      </c>
      <c r="T46" s="32">
        <f>H$6/$Q$6</f>
        <v>3255.1750000000002</v>
      </c>
      <c r="U46" s="32">
        <f>T46*S46</f>
        <v>1139.31125</v>
      </c>
      <c r="V46" s="41">
        <f>40*Q23</f>
        <v>173.33333333333331</v>
      </c>
      <c r="W46" s="42">
        <f>V46*U46</f>
        <v>197480.61666666664</v>
      </c>
    </row>
    <row r="47" spans="2:25" ht="15" x14ac:dyDescent="0.25">
      <c r="E47"/>
      <c r="F47"/>
      <c r="P47" s="66" t="s">
        <v>48</v>
      </c>
      <c r="Q47" s="31"/>
      <c r="R47" s="39">
        <v>0.75</v>
      </c>
      <c r="S47" s="40">
        <v>0.75</v>
      </c>
      <c r="T47" s="32">
        <f t="shared" ref="T47:T48" si="44">H$6/$Q$6</f>
        <v>3255.1750000000002</v>
      </c>
      <c r="U47" s="32">
        <f>T47*S47</f>
        <v>2441.3812500000004</v>
      </c>
      <c r="V47" s="41">
        <f>8*R27</f>
        <v>34.666666666666664</v>
      </c>
      <c r="W47" s="42">
        <f>V47*U47</f>
        <v>84634.55</v>
      </c>
    </row>
    <row r="48" spans="2:25" ht="15" x14ac:dyDescent="0.25">
      <c r="E48"/>
      <c r="F48"/>
      <c r="P48" s="30" t="s">
        <v>50</v>
      </c>
      <c r="Q48" s="31"/>
      <c r="R48" s="39">
        <v>1.1000000000000001</v>
      </c>
      <c r="S48" s="40">
        <v>1.1000000000000001</v>
      </c>
      <c r="T48" s="32">
        <f t="shared" si="44"/>
        <v>3255.1750000000002</v>
      </c>
      <c r="U48" s="32">
        <f t="shared" ref="U48" si="45">T48*S48</f>
        <v>3580.6925000000006</v>
      </c>
      <c r="V48" s="41">
        <v>0</v>
      </c>
      <c r="W48" s="42">
        <f t="shared" ref="W48" si="46">V48*U48</f>
        <v>0</v>
      </c>
    </row>
    <row r="49" spans="1:25" s="15" customFormat="1" ht="15.75" thickBot="1" x14ac:dyDescent="0.3">
      <c r="A49" s="13"/>
      <c r="B49" s="13"/>
      <c r="C49" s="13"/>
      <c r="E49"/>
      <c r="F49"/>
      <c r="O49" s="13"/>
      <c r="P49" s="73" t="s">
        <v>52</v>
      </c>
      <c r="Q49" s="74"/>
      <c r="R49" s="74"/>
      <c r="S49" s="74"/>
      <c r="T49" s="75"/>
      <c r="U49" s="75"/>
      <c r="V49" s="74"/>
      <c r="W49" s="76">
        <f>SUM(W46:W48)</f>
        <v>282115.16666666663</v>
      </c>
      <c r="X49" s="13"/>
      <c r="Y49" s="13"/>
    </row>
    <row r="50" spans="1:25" ht="13.5" thickBot="1" x14ac:dyDescent="0.25">
      <c r="E50" s="38"/>
      <c r="F50" s="38"/>
      <c r="G50" s="38"/>
      <c r="H50" s="38"/>
      <c r="I50" s="38"/>
      <c r="J50" s="38"/>
      <c r="K50" s="38"/>
    </row>
  </sheetData>
  <protectedRanges>
    <protectedRange algorithmName="SHA-512" hashValue="QpLYHJ9oYsYavWEufzN3Xq8bSVUNJXhXvcPfI72yQNOC9XgDmMKu65486L3WZCW6NnKMIvtKcYS+x8UcB/004Q==" saltValue="xlXlQIjMcOoa15osrrJF/A==" spinCount="100000" sqref="E43:M45 E50:K50" name="Rango1"/>
    <protectedRange algorithmName="SHA-512" hashValue="SOwjWhyR6rtwC62TLjIoiX3LUF5hRAn1yxJ35cpFTFaJ4DnOZ/2HagtXzpxAWmU4ggiE+QUOctfCzsPwEzV5sQ==" saltValue="9pt/kGrQ8LAHSTN/OjYcgg==" spinCount="100000" sqref="E9:M11" name="Rango2"/>
    <protectedRange algorithmName="SHA-512" hashValue="ZfEms5+jlgeP1rgvE8lxzpQtz2oLWNCPP+yX+/7/Vw4dKGxig2S3kKUDNMW6DI3VkMsaP1dXLuKYIqnkZDHTdg==" saltValue="2Xxge0y1nSAtm3z/8ff3og==" spinCount="100000" sqref="C24:M28" name="Rango3"/>
  </protectedRanges>
  <mergeCells count="3">
    <mergeCell ref="E1:L1"/>
    <mergeCell ref="B24:B28"/>
    <mergeCell ref="T27:W29"/>
  </mergeCells>
  <pageMargins left="0.7" right="0.7" top="0.75" bottom="0.75" header="0.3" footer="0.3"/>
  <pageSetup scale="80" orientation="landscape" r:id="rId1"/>
  <colBreaks count="1" manualBreakCount="1">
    <brk id="13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view="pageBreakPreview" zoomScale="110" zoomScaleNormal="100" zoomScaleSheetLayoutView="110" workbookViewId="0">
      <selection activeCell="H8" sqref="H8"/>
    </sheetView>
  </sheetViews>
  <sheetFormatPr baseColWidth="10" defaultRowHeight="15" x14ac:dyDescent="0.25"/>
  <cols>
    <col min="1" max="1" width="6" customWidth="1"/>
    <col min="2" max="2" width="72.5703125" customWidth="1"/>
    <col min="3" max="3" width="17" customWidth="1"/>
    <col min="4" max="4" width="19.5703125" hidden="1" customWidth="1"/>
    <col min="5" max="5" width="19.5703125" customWidth="1"/>
    <col min="6" max="6" width="14.140625" hidden="1" customWidth="1"/>
    <col min="7" max="7" width="0" hidden="1" customWidth="1"/>
  </cols>
  <sheetData>
    <row r="1" spans="1:8" x14ac:dyDescent="0.25">
      <c r="A1" s="222">
        <v>2018</v>
      </c>
      <c r="B1" s="222"/>
      <c r="C1" s="222"/>
      <c r="D1" s="222"/>
      <c r="E1" s="222"/>
      <c r="F1" s="222"/>
      <c r="G1" s="222"/>
      <c r="H1" s="222"/>
    </row>
    <row r="2" spans="1:8" x14ac:dyDescent="0.25">
      <c r="A2" s="222"/>
      <c r="B2" s="222"/>
      <c r="C2" s="222"/>
      <c r="D2" s="222"/>
      <c r="E2" s="222"/>
      <c r="F2" s="222"/>
      <c r="G2" s="222"/>
      <c r="H2" s="222"/>
    </row>
    <row r="4" spans="1:8" x14ac:dyDescent="0.25">
      <c r="A4" s="201" t="s">
        <v>129</v>
      </c>
      <c r="B4" s="201" t="s">
        <v>117</v>
      </c>
      <c r="C4" s="201" t="s">
        <v>119</v>
      </c>
      <c r="D4" s="201" t="s">
        <v>119</v>
      </c>
      <c r="E4" s="201" t="s">
        <v>120</v>
      </c>
      <c r="F4" s="201" t="s">
        <v>120</v>
      </c>
      <c r="G4" s="201"/>
      <c r="H4" s="201" t="s">
        <v>128</v>
      </c>
    </row>
    <row r="5" spans="1:8" x14ac:dyDescent="0.25">
      <c r="A5" s="202">
        <v>1</v>
      </c>
      <c r="B5" s="198" t="s">
        <v>7</v>
      </c>
      <c r="C5" s="199">
        <v>1354090</v>
      </c>
      <c r="D5" s="199">
        <v>1354090.3499999999</v>
      </c>
      <c r="E5" s="199">
        <v>1332561</v>
      </c>
      <c r="F5" s="199">
        <v>1332560.8800000001</v>
      </c>
      <c r="G5" s="200">
        <f>+E5/C5</f>
        <v>0.98410076139695291</v>
      </c>
      <c r="H5" s="203">
        <f>100%-G5</f>
        <v>1.5899238603047094E-2</v>
      </c>
    </row>
    <row r="6" spans="1:8" x14ac:dyDescent="0.25">
      <c r="A6" s="202">
        <v>2</v>
      </c>
      <c r="B6" s="198" t="s">
        <v>8</v>
      </c>
      <c r="C6" s="199">
        <v>1643039</v>
      </c>
      <c r="D6" s="199">
        <v>1643038.5</v>
      </c>
      <c r="E6" s="199">
        <v>1377886</v>
      </c>
      <c r="F6" s="199">
        <v>1377886.0800000003</v>
      </c>
      <c r="G6" s="200">
        <f t="shared" ref="G6:G13" si="0">+E6/C6</f>
        <v>0.83862038576077624</v>
      </c>
      <c r="H6" s="203">
        <f t="shared" ref="H6:H13" si="1">100%-G6</f>
        <v>0.16137961423922376</v>
      </c>
    </row>
    <row r="7" spans="1:8" x14ac:dyDescent="0.25">
      <c r="A7" s="202">
        <v>3</v>
      </c>
      <c r="B7" s="198" t="s">
        <v>9</v>
      </c>
      <c r="C7" s="199">
        <v>1405081</v>
      </c>
      <c r="D7" s="199">
        <v>1405081.2</v>
      </c>
      <c r="E7" s="199">
        <v>1377886</v>
      </c>
      <c r="F7" s="199">
        <v>1377886.0800000003</v>
      </c>
      <c r="G7" s="200">
        <f t="shared" si="0"/>
        <v>0.98064524393967323</v>
      </c>
      <c r="H7" s="203">
        <f t="shared" si="1"/>
        <v>1.9354756060326772E-2</v>
      </c>
    </row>
    <row r="8" spans="1:8" x14ac:dyDescent="0.25">
      <c r="A8" s="202">
        <v>4</v>
      </c>
      <c r="B8" s="198" t="s">
        <v>10</v>
      </c>
      <c r="C8" s="199">
        <v>2039634</v>
      </c>
      <c r="D8" s="199">
        <v>2039634</v>
      </c>
      <c r="E8" s="199">
        <v>1332561</v>
      </c>
      <c r="F8" s="199">
        <v>1332560.8800000001</v>
      </c>
      <c r="G8" s="200">
        <f t="shared" si="0"/>
        <v>0.65333339216741826</v>
      </c>
      <c r="H8" s="203">
        <f t="shared" si="1"/>
        <v>0.34666660783258174</v>
      </c>
    </row>
    <row r="9" spans="1:8" x14ac:dyDescent="0.25">
      <c r="A9" s="202">
        <v>5</v>
      </c>
      <c r="B9" s="198" t="s">
        <v>11</v>
      </c>
      <c r="C9" s="199">
        <v>1427744</v>
      </c>
      <c r="D9" s="199">
        <v>1427743.7999999998</v>
      </c>
      <c r="E9" s="199">
        <v>1377886</v>
      </c>
      <c r="F9" s="199">
        <v>1377886.0800000003</v>
      </c>
      <c r="G9" s="200">
        <f t="shared" si="0"/>
        <v>0.96507917385749831</v>
      </c>
      <c r="H9" s="203">
        <f t="shared" si="1"/>
        <v>3.4920826142501693E-2</v>
      </c>
    </row>
    <row r="10" spans="1:8" x14ac:dyDescent="0.25">
      <c r="A10" s="202">
        <v>6</v>
      </c>
      <c r="B10" s="198" t="s">
        <v>12</v>
      </c>
      <c r="C10" s="199">
        <v>1813008</v>
      </c>
      <c r="D10" s="199">
        <v>1813008</v>
      </c>
      <c r="E10" s="199">
        <v>1377886</v>
      </c>
      <c r="F10" s="199">
        <v>1377886.0800000003</v>
      </c>
      <c r="G10" s="200">
        <f t="shared" si="0"/>
        <v>0.75999995587443625</v>
      </c>
      <c r="H10" s="203">
        <f t="shared" si="1"/>
        <v>0.24000004412556375</v>
      </c>
    </row>
    <row r="11" spans="1:8" x14ac:dyDescent="0.25">
      <c r="A11" s="202">
        <v>7</v>
      </c>
      <c r="B11" s="198" t="s">
        <v>13</v>
      </c>
      <c r="C11" s="199">
        <v>1643039</v>
      </c>
      <c r="D11" s="199">
        <v>1643038.5</v>
      </c>
      <c r="E11" s="199">
        <v>1377886</v>
      </c>
      <c r="F11" s="199">
        <v>1377886.0800000003</v>
      </c>
      <c r="G11" s="200">
        <f t="shared" si="0"/>
        <v>0.83862038576077624</v>
      </c>
      <c r="H11" s="203">
        <f t="shared" si="1"/>
        <v>0.16137961423922376</v>
      </c>
    </row>
    <row r="12" spans="1:8" x14ac:dyDescent="0.25">
      <c r="A12" s="202">
        <v>8</v>
      </c>
      <c r="B12" s="198" t="s">
        <v>14</v>
      </c>
      <c r="C12" s="199">
        <v>1643039</v>
      </c>
      <c r="D12" s="199">
        <v>1643038.5</v>
      </c>
      <c r="E12" s="199">
        <v>1377886</v>
      </c>
      <c r="F12" s="199">
        <v>1377886.0800000003</v>
      </c>
      <c r="G12" s="200">
        <f t="shared" si="0"/>
        <v>0.83862038576077624</v>
      </c>
      <c r="H12" s="203">
        <f t="shared" si="1"/>
        <v>0.16137961423922376</v>
      </c>
    </row>
    <row r="13" spans="1:8" x14ac:dyDescent="0.25">
      <c r="A13" s="202">
        <v>9</v>
      </c>
      <c r="B13" s="198" t="s">
        <v>15</v>
      </c>
      <c r="C13" s="199">
        <v>2152947</v>
      </c>
      <c r="D13" s="199">
        <v>2152947</v>
      </c>
      <c r="E13" s="199">
        <v>1342759</v>
      </c>
      <c r="F13" s="199">
        <v>1342759.0500000005</v>
      </c>
      <c r="G13" s="200">
        <f t="shared" si="0"/>
        <v>0.62368418730233488</v>
      </c>
      <c r="H13" s="203">
        <f t="shared" si="1"/>
        <v>0.37631581269766512</v>
      </c>
    </row>
    <row r="14" spans="1:8" x14ac:dyDescent="0.25">
      <c r="A14" s="202">
        <v>10</v>
      </c>
      <c r="B14" s="198" t="s">
        <v>16</v>
      </c>
      <c r="C14" s="198"/>
      <c r="D14" s="199">
        <v>158850</v>
      </c>
      <c r="E14" s="199"/>
      <c r="F14" s="199">
        <v>45925.758900000015</v>
      </c>
      <c r="G14" s="198"/>
      <c r="H14" s="198"/>
    </row>
    <row r="15" spans="1:8" x14ac:dyDescent="0.25">
      <c r="A15" s="202">
        <v>11</v>
      </c>
      <c r="B15" s="198" t="s">
        <v>17</v>
      </c>
      <c r="C15" s="198"/>
      <c r="D15" s="199">
        <v>158850</v>
      </c>
      <c r="E15" s="199"/>
      <c r="F15" s="199">
        <v>45925.758900000015</v>
      </c>
      <c r="G15" s="198"/>
      <c r="H15" s="198"/>
    </row>
    <row r="16" spans="1:8" x14ac:dyDescent="0.25">
      <c r="A16" s="202">
        <v>12</v>
      </c>
      <c r="B16" s="198" t="s">
        <v>18</v>
      </c>
      <c r="C16" s="198"/>
      <c r="D16" s="199">
        <v>158850</v>
      </c>
      <c r="E16" s="199"/>
      <c r="F16" s="199">
        <v>44758.635000000009</v>
      </c>
      <c r="G16" s="198"/>
      <c r="H16" s="198"/>
    </row>
  </sheetData>
  <mergeCells count="1">
    <mergeCell ref="A1:H2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topLeftCell="B1" zoomScale="80" zoomScaleNormal="80" workbookViewId="0">
      <selection activeCell="P13" sqref="P13"/>
    </sheetView>
  </sheetViews>
  <sheetFormatPr baseColWidth="10" defaultRowHeight="15" x14ac:dyDescent="0.25"/>
  <cols>
    <col min="2" max="2" width="9.140625" customWidth="1"/>
    <col min="3" max="3" width="35.85546875" customWidth="1"/>
    <col min="8" max="8" width="0.7109375" style="9" customWidth="1"/>
    <col min="11" max="11" width="11.42578125" style="111"/>
    <col min="12" max="12" width="32.85546875" customWidth="1"/>
    <col min="13" max="13" width="17.28515625" customWidth="1"/>
    <col min="15" max="15" width="12.42578125" bestFit="1" customWidth="1"/>
    <col min="16" max="16" width="13.7109375" bestFit="1" customWidth="1"/>
    <col min="17" max="17" width="26.5703125" bestFit="1" customWidth="1"/>
  </cols>
  <sheetData>
    <row r="2" spans="2:18" ht="18.75" x14ac:dyDescent="0.3">
      <c r="D2" s="110"/>
      <c r="I2" s="110">
        <f>I4*107%</f>
        <v>1278650</v>
      </c>
      <c r="K2" s="176">
        <v>0.02</v>
      </c>
      <c r="L2" s="124">
        <v>0.01</v>
      </c>
      <c r="M2" s="223">
        <v>2017</v>
      </c>
      <c r="N2" s="223"/>
      <c r="O2" s="224">
        <v>2018</v>
      </c>
      <c r="P2" s="224"/>
    </row>
    <row r="3" spans="2:18" ht="30" x14ac:dyDescent="0.25">
      <c r="C3" s="3" t="s">
        <v>3</v>
      </c>
      <c r="D3" s="3" t="s">
        <v>1</v>
      </c>
      <c r="E3" s="3" t="s">
        <v>2</v>
      </c>
      <c r="F3" s="3" t="s">
        <v>4</v>
      </c>
      <c r="G3" s="3" t="s">
        <v>6</v>
      </c>
      <c r="H3" s="5"/>
      <c r="I3" s="6" t="s">
        <v>5</v>
      </c>
      <c r="J3" s="3" t="s">
        <v>4</v>
      </c>
      <c r="M3" s="171" t="s">
        <v>119</v>
      </c>
      <c r="N3" s="171" t="s">
        <v>120</v>
      </c>
      <c r="O3" s="173" t="s">
        <v>119</v>
      </c>
      <c r="P3" s="174" t="s">
        <v>120</v>
      </c>
    </row>
    <row r="4" spans="2:18" ht="15" customHeight="1" x14ac:dyDescent="0.25">
      <c r="B4" s="1">
        <v>1</v>
      </c>
      <c r="C4" s="4" t="s">
        <v>7</v>
      </c>
      <c r="D4" s="4">
        <v>1176000</v>
      </c>
      <c r="E4" s="4">
        <v>1653750</v>
      </c>
      <c r="F4">
        <v>5</v>
      </c>
      <c r="G4" s="8">
        <f>F4/$F$16</f>
        <v>0.16666666666666666</v>
      </c>
      <c r="H4" s="5"/>
      <c r="I4" s="4">
        <v>1195000</v>
      </c>
      <c r="J4" s="12">
        <f>F4*(1-((I4-D4)/(E4-D4))^2)^(1/2)</f>
        <v>4.9960443519407622</v>
      </c>
      <c r="K4" s="113">
        <f>100%-D4/I4</f>
        <v>1.5899581589958189E-2</v>
      </c>
      <c r="L4" s="177">
        <v>1.58995815899582E-2</v>
      </c>
      <c r="M4" s="172">
        <f>I4*107%</f>
        <v>1278650</v>
      </c>
      <c r="N4" s="172">
        <f>M4-(M4*K4)</f>
        <v>1258320</v>
      </c>
      <c r="O4" s="197">
        <f>+M4*105.9%</f>
        <v>1354090.35</v>
      </c>
      <c r="P4" s="175">
        <f>O4-(O4*K4)</f>
        <v>1332560.8800000001</v>
      </c>
      <c r="Q4" s="177"/>
      <c r="R4" s="4"/>
    </row>
    <row r="5" spans="2:18" ht="15" customHeight="1" x14ac:dyDescent="0.25">
      <c r="B5" s="1">
        <v>2</v>
      </c>
      <c r="C5" s="4" t="s">
        <v>8</v>
      </c>
      <c r="D5" s="4">
        <v>1216000</v>
      </c>
      <c r="E5" s="4">
        <v>1984500</v>
      </c>
      <c r="F5">
        <v>4</v>
      </c>
      <c r="G5" s="8">
        <f t="shared" ref="G5:G15" si="0">F5/$F$16</f>
        <v>0.13333333333333333</v>
      </c>
      <c r="H5" s="5"/>
      <c r="I5" s="109">
        <v>1450000</v>
      </c>
      <c r="J5" s="12">
        <f t="shared" ref="J5:J14" si="1">F5*(1-((I5-D5)/(E5-D5))^2)^(1/2)</f>
        <v>3.8100630705973457</v>
      </c>
      <c r="K5" s="113">
        <f>100%-D5/I5</f>
        <v>0.16137931034482755</v>
      </c>
      <c r="M5" s="172">
        <f t="shared" ref="M5:M15" si="2">I5*107%</f>
        <v>1551500</v>
      </c>
      <c r="N5" s="172">
        <f>M5-(M5*K5)</f>
        <v>1301120</v>
      </c>
      <c r="O5" s="175">
        <f t="shared" ref="O5:O15" si="3">+M5*105.9%</f>
        <v>1643038.5000000002</v>
      </c>
      <c r="P5" s="175">
        <f t="shared" ref="P5:P15" si="4">O5-(O5*K5)</f>
        <v>1377886.0800000003</v>
      </c>
      <c r="R5" s="178"/>
    </row>
    <row r="6" spans="2:18" ht="15" customHeight="1" x14ac:dyDescent="0.25">
      <c r="B6" s="1">
        <v>3</v>
      </c>
      <c r="C6" s="4" t="s">
        <v>9</v>
      </c>
      <c r="D6" s="4">
        <v>1216000</v>
      </c>
      <c r="E6" s="4">
        <v>1764000</v>
      </c>
      <c r="F6">
        <v>3</v>
      </c>
      <c r="G6" s="8">
        <f t="shared" si="0"/>
        <v>0.1</v>
      </c>
      <c r="H6" s="5"/>
      <c r="I6" s="4">
        <v>1240000</v>
      </c>
      <c r="J6" s="12">
        <f t="shared" si="1"/>
        <v>2.9971215345184268</v>
      </c>
      <c r="K6" s="113">
        <f t="shared" ref="K6:K15" si="5">100%-D6/I6</f>
        <v>1.9354838709677469E-2</v>
      </c>
      <c r="M6" s="172">
        <f t="shared" si="2"/>
        <v>1326800</v>
      </c>
      <c r="N6" s="172">
        <f t="shared" ref="N6:N15" si="6">M6-(M6*K6)</f>
        <v>1301120</v>
      </c>
      <c r="O6" s="175">
        <f t="shared" si="3"/>
        <v>1405081.2000000002</v>
      </c>
      <c r="P6" s="175">
        <f t="shared" si="4"/>
        <v>1377886.08</v>
      </c>
      <c r="R6" s="111"/>
    </row>
    <row r="7" spans="2:18" ht="15" customHeight="1" x14ac:dyDescent="0.25">
      <c r="B7" s="1">
        <v>4</v>
      </c>
      <c r="C7" s="4" t="s">
        <v>10</v>
      </c>
      <c r="D7" s="4">
        <v>1176000</v>
      </c>
      <c r="E7" s="4">
        <v>2756250</v>
      </c>
      <c r="F7">
        <v>3</v>
      </c>
      <c r="G7" s="8">
        <f t="shared" si="0"/>
        <v>0.1</v>
      </c>
      <c r="H7" s="5"/>
      <c r="I7" s="4">
        <v>1800000</v>
      </c>
      <c r="J7" s="12">
        <f t="shared" si="1"/>
        <v>2.7562055603930773</v>
      </c>
      <c r="K7" s="113">
        <f t="shared" si="5"/>
        <v>0.34666666666666668</v>
      </c>
      <c r="M7" s="172">
        <f t="shared" si="2"/>
        <v>1926000</v>
      </c>
      <c r="N7" s="172">
        <f t="shared" si="6"/>
        <v>1258320</v>
      </c>
      <c r="O7" s="175">
        <f t="shared" si="3"/>
        <v>2039634.0000000002</v>
      </c>
      <c r="P7" s="175">
        <f t="shared" si="4"/>
        <v>1332560.8800000001</v>
      </c>
      <c r="R7" s="176"/>
    </row>
    <row r="8" spans="2:18" x14ac:dyDescent="0.25">
      <c r="B8" s="1">
        <v>5</v>
      </c>
      <c r="C8" s="4" t="s">
        <v>11</v>
      </c>
      <c r="D8" s="4">
        <v>1216000</v>
      </c>
      <c r="E8" s="4">
        <v>1984500</v>
      </c>
      <c r="F8">
        <v>3</v>
      </c>
      <c r="G8" s="8">
        <f t="shared" si="0"/>
        <v>0.1</v>
      </c>
      <c r="H8" s="5"/>
      <c r="I8" s="4">
        <v>1260000</v>
      </c>
      <c r="J8" s="12">
        <f t="shared" si="1"/>
        <v>2.9950788656909069</v>
      </c>
      <c r="K8" s="113">
        <f t="shared" si="5"/>
        <v>3.4920634920634908E-2</v>
      </c>
      <c r="M8" s="172">
        <f t="shared" si="2"/>
        <v>1348200</v>
      </c>
      <c r="N8" s="172">
        <f t="shared" si="6"/>
        <v>1301120</v>
      </c>
      <c r="O8" s="175">
        <f t="shared" si="3"/>
        <v>1427743.8000000003</v>
      </c>
      <c r="P8" s="175">
        <f t="shared" si="4"/>
        <v>1377886.0800000003</v>
      </c>
    </row>
    <row r="9" spans="2:18" ht="27" customHeight="1" x14ac:dyDescent="0.25">
      <c r="B9" s="1">
        <v>6</v>
      </c>
      <c r="C9" s="11" t="s">
        <v>12</v>
      </c>
      <c r="D9" s="4">
        <v>1216000</v>
      </c>
      <c r="E9" s="4">
        <v>2111000</v>
      </c>
      <c r="F9">
        <v>3</v>
      </c>
      <c r="G9" s="8">
        <f t="shared" si="0"/>
        <v>0.1</v>
      </c>
      <c r="H9" s="5"/>
      <c r="I9" s="4">
        <v>1600000</v>
      </c>
      <c r="J9" s="7">
        <f t="shared" si="1"/>
        <v>2.7098418256910604</v>
      </c>
      <c r="K9" s="113">
        <f t="shared" si="5"/>
        <v>0.24</v>
      </c>
      <c r="M9" s="172">
        <f t="shared" si="2"/>
        <v>1712000</v>
      </c>
      <c r="N9" s="172">
        <f t="shared" si="6"/>
        <v>1301120</v>
      </c>
      <c r="O9" s="175">
        <f t="shared" si="3"/>
        <v>1813008.0000000002</v>
      </c>
      <c r="P9" s="175">
        <f t="shared" si="4"/>
        <v>1377886.08</v>
      </c>
    </row>
    <row r="10" spans="2:18" ht="30" customHeight="1" x14ac:dyDescent="0.25">
      <c r="B10" s="1">
        <v>7</v>
      </c>
      <c r="C10" s="11" t="s">
        <v>13</v>
      </c>
      <c r="D10" s="4">
        <v>1216000</v>
      </c>
      <c r="E10" s="4">
        <v>1846000</v>
      </c>
      <c r="F10">
        <v>2</v>
      </c>
      <c r="G10" s="8">
        <f t="shared" si="0"/>
        <v>6.6666666666666666E-2</v>
      </c>
      <c r="H10" s="5"/>
      <c r="I10" s="4">
        <v>1450000</v>
      </c>
      <c r="J10" s="7">
        <f>F10*(1-((I10-D10)/(E10-D10))^2)^(1/2)</f>
        <v>1.8569230639167909</v>
      </c>
      <c r="K10" s="113">
        <f t="shared" si="5"/>
        <v>0.16137931034482755</v>
      </c>
      <c r="M10" s="172">
        <f t="shared" si="2"/>
        <v>1551500</v>
      </c>
      <c r="N10" s="172">
        <f t="shared" si="6"/>
        <v>1301120</v>
      </c>
      <c r="O10" s="175">
        <f t="shared" si="3"/>
        <v>1643038.5000000002</v>
      </c>
      <c r="P10" s="175">
        <f t="shared" si="4"/>
        <v>1377886.0800000003</v>
      </c>
    </row>
    <row r="11" spans="2:18" ht="25.5" customHeight="1" x14ac:dyDescent="0.25">
      <c r="B11" s="1">
        <v>8</v>
      </c>
      <c r="C11" s="11" t="s">
        <v>14</v>
      </c>
      <c r="D11" s="4">
        <v>1216000</v>
      </c>
      <c r="E11" s="4">
        <v>2111000</v>
      </c>
      <c r="F11">
        <v>2</v>
      </c>
      <c r="G11" s="8">
        <f t="shared" si="0"/>
        <v>6.6666666666666666E-2</v>
      </c>
      <c r="H11" s="5"/>
      <c r="I11" s="4">
        <v>1450000</v>
      </c>
      <c r="J11" s="7">
        <f t="shared" si="1"/>
        <v>1.9304326799353635</v>
      </c>
      <c r="K11" s="113">
        <f t="shared" si="5"/>
        <v>0.16137931034482755</v>
      </c>
      <c r="M11" s="172">
        <f t="shared" si="2"/>
        <v>1551500</v>
      </c>
      <c r="N11" s="172">
        <f t="shared" si="6"/>
        <v>1301120</v>
      </c>
      <c r="O11" s="175">
        <f t="shared" si="3"/>
        <v>1643038.5000000002</v>
      </c>
      <c r="P11" s="175">
        <f t="shared" si="4"/>
        <v>1377886.0800000003</v>
      </c>
    </row>
    <row r="12" spans="2:18" ht="27.75" customHeight="1" x14ac:dyDescent="0.25">
      <c r="B12" s="1">
        <v>9</v>
      </c>
      <c r="C12" s="11" t="s">
        <v>15</v>
      </c>
      <c r="D12" s="4">
        <v>1185000</v>
      </c>
      <c r="E12" s="4">
        <v>2756250</v>
      </c>
      <c r="F12">
        <v>2</v>
      </c>
      <c r="G12" s="8">
        <f t="shared" si="0"/>
        <v>6.6666666666666666E-2</v>
      </c>
      <c r="H12" s="5"/>
      <c r="I12" s="4">
        <v>1900000</v>
      </c>
      <c r="J12" s="7">
        <f t="shared" si="1"/>
        <v>1.7809300276454896</v>
      </c>
      <c r="K12" s="113">
        <f t="shared" si="5"/>
        <v>0.37631578947368416</v>
      </c>
      <c r="M12" s="172">
        <f t="shared" si="2"/>
        <v>2033000.0000000002</v>
      </c>
      <c r="N12" s="172">
        <f t="shared" si="6"/>
        <v>1267950.0000000002</v>
      </c>
      <c r="O12" s="175">
        <f t="shared" si="3"/>
        <v>2152947.0000000005</v>
      </c>
      <c r="P12" s="175">
        <f>O12-(O12*K12)</f>
        <v>1342759.0500000003</v>
      </c>
    </row>
    <row r="13" spans="2:18" ht="15" customHeight="1" x14ac:dyDescent="0.25">
      <c r="B13" s="1">
        <v>10</v>
      </c>
      <c r="C13" s="11" t="s">
        <v>16</v>
      </c>
      <c r="D13" s="4">
        <v>40530</v>
      </c>
      <c r="E13" s="4">
        <v>195718</v>
      </c>
      <c r="F13">
        <v>1</v>
      </c>
      <c r="G13" s="8">
        <f t="shared" si="0"/>
        <v>3.3333333333333333E-2</v>
      </c>
      <c r="H13" s="5"/>
      <c r="I13" s="4">
        <v>150000</v>
      </c>
      <c r="J13" s="7">
        <f t="shared" si="1"/>
        <v>0.70880698487813565</v>
      </c>
      <c r="K13" s="113">
        <f t="shared" si="5"/>
        <v>0.7298</v>
      </c>
      <c r="L13" t="s">
        <v>51</v>
      </c>
      <c r="M13" s="172">
        <f t="shared" si="2"/>
        <v>160500</v>
      </c>
      <c r="N13" s="172">
        <f t="shared" si="6"/>
        <v>43367.100000000006</v>
      </c>
      <c r="O13" s="175">
        <f t="shared" si="3"/>
        <v>169969.50000000003</v>
      </c>
      <c r="P13" s="175">
        <f t="shared" si="4"/>
        <v>45925.758900000001</v>
      </c>
    </row>
    <row r="14" spans="2:18" ht="15" customHeight="1" x14ac:dyDescent="0.25">
      <c r="B14" s="1">
        <v>11</v>
      </c>
      <c r="C14" s="11" t="s">
        <v>17</v>
      </c>
      <c r="D14" s="4">
        <v>40530</v>
      </c>
      <c r="E14" s="4">
        <v>195718</v>
      </c>
      <c r="F14">
        <v>1</v>
      </c>
      <c r="G14" s="8">
        <f t="shared" si="0"/>
        <v>3.3333333333333333E-2</v>
      </c>
      <c r="H14" s="5"/>
      <c r="I14" s="4">
        <v>150000</v>
      </c>
      <c r="J14" s="7">
        <f t="shared" si="1"/>
        <v>0.70880698487813565</v>
      </c>
      <c r="K14" s="113">
        <f t="shared" si="5"/>
        <v>0.7298</v>
      </c>
      <c r="M14" s="172">
        <f t="shared" si="2"/>
        <v>160500</v>
      </c>
      <c r="N14" s="172">
        <f t="shared" si="6"/>
        <v>43367.100000000006</v>
      </c>
      <c r="O14" s="175">
        <f t="shared" si="3"/>
        <v>169969.50000000003</v>
      </c>
      <c r="P14" s="175">
        <f t="shared" si="4"/>
        <v>45925.758900000001</v>
      </c>
    </row>
    <row r="15" spans="2:18" ht="30.75" customHeight="1" x14ac:dyDescent="0.25">
      <c r="B15" s="1">
        <v>12</v>
      </c>
      <c r="C15" s="11" t="s">
        <v>18</v>
      </c>
      <c r="D15" s="4">
        <v>39500</v>
      </c>
      <c r="E15" s="4">
        <v>154930</v>
      </c>
      <c r="F15">
        <v>1</v>
      </c>
      <c r="G15" s="8">
        <f t="shared" si="0"/>
        <v>3.3333333333333333E-2</v>
      </c>
      <c r="H15" s="5"/>
      <c r="I15" s="4">
        <v>150000</v>
      </c>
      <c r="J15" s="7">
        <f>F15*(1-((I15-D15)/(E15-D15))^2)^(1/2)</f>
        <v>0.28912904061420736</v>
      </c>
      <c r="K15" s="113">
        <f t="shared" si="5"/>
        <v>0.73666666666666669</v>
      </c>
      <c r="M15" s="172">
        <f t="shared" si="2"/>
        <v>160500</v>
      </c>
      <c r="N15" s="172">
        <f t="shared" si="6"/>
        <v>42265</v>
      </c>
      <c r="O15" s="175">
        <f t="shared" si="3"/>
        <v>169969.50000000003</v>
      </c>
      <c r="P15" s="175">
        <f t="shared" si="4"/>
        <v>44758.635000000009</v>
      </c>
    </row>
    <row r="16" spans="2:18" x14ac:dyDescent="0.25">
      <c r="C16" s="4"/>
      <c r="F16" s="2">
        <f>SUM(F4:F15)</f>
        <v>30</v>
      </c>
      <c r="H16" s="5"/>
      <c r="J16" s="110">
        <f>SUM(J4:J15)</f>
        <v>27.539383990699708</v>
      </c>
      <c r="P16" s="175"/>
    </row>
    <row r="17" spans="4:11" x14ac:dyDescent="0.25">
      <c r="H17" s="5"/>
      <c r="J17" s="110"/>
    </row>
    <row r="19" spans="4:11" ht="15" customHeight="1" x14ac:dyDescent="0.25">
      <c r="D19" s="10"/>
      <c r="E19" s="10"/>
      <c r="F19" s="10"/>
      <c r="G19" s="10"/>
      <c r="H19" s="10"/>
      <c r="I19" s="10"/>
      <c r="J19" s="10"/>
      <c r="K19" s="112"/>
    </row>
    <row r="20" spans="4:11" ht="15" customHeight="1" x14ac:dyDescent="0.25">
      <c r="D20" s="10"/>
      <c r="E20" s="10"/>
      <c r="F20" s="10"/>
      <c r="G20" s="10"/>
      <c r="H20" s="10"/>
      <c r="I20" s="10"/>
      <c r="J20" s="10"/>
      <c r="K20" s="112"/>
    </row>
    <row r="21" spans="4:11" ht="15" customHeight="1" x14ac:dyDescent="0.25">
      <c r="D21" s="10"/>
      <c r="E21" s="10"/>
      <c r="F21" s="10"/>
      <c r="G21" s="10"/>
      <c r="H21" s="10"/>
      <c r="I21" s="10"/>
      <c r="J21" s="10"/>
      <c r="K21" s="112"/>
    </row>
    <row r="22" spans="4:11" ht="15" customHeight="1" x14ac:dyDescent="0.25">
      <c r="D22" s="10"/>
      <c r="E22" s="10"/>
      <c r="F22" s="10"/>
      <c r="G22" s="10"/>
      <c r="H22" s="10"/>
      <c r="I22" s="10"/>
      <c r="J22" s="10"/>
      <c r="K22" s="112"/>
    </row>
    <row r="23" spans="4:11" x14ac:dyDescent="0.25">
      <c r="D23" s="10"/>
      <c r="E23" s="10"/>
      <c r="F23" s="10"/>
      <c r="G23" s="10"/>
      <c r="H23" s="10"/>
      <c r="I23" s="10"/>
      <c r="J23" s="10"/>
      <c r="K23" s="112"/>
    </row>
    <row r="24" spans="4:11" ht="15" customHeight="1" x14ac:dyDescent="0.25">
      <c r="D24" s="10"/>
      <c r="E24" s="10"/>
      <c r="F24" s="10"/>
      <c r="G24" s="10"/>
      <c r="H24" s="10"/>
      <c r="I24" s="10"/>
      <c r="J24" s="10"/>
      <c r="K24" s="112"/>
    </row>
    <row r="25" spans="4:11" ht="15" customHeight="1" x14ac:dyDescent="0.25">
      <c r="D25" s="10"/>
      <c r="E25" s="10"/>
      <c r="F25" s="10"/>
      <c r="G25" s="10"/>
      <c r="H25" s="10"/>
      <c r="I25" s="10"/>
      <c r="J25" s="10"/>
      <c r="K25" s="112"/>
    </row>
    <row r="26" spans="4:11" ht="15" customHeight="1" x14ac:dyDescent="0.25">
      <c r="D26" s="10"/>
      <c r="E26" s="10"/>
      <c r="F26" s="10"/>
      <c r="G26" s="10"/>
      <c r="H26" s="10"/>
      <c r="I26" s="10"/>
      <c r="J26" s="10"/>
      <c r="K26" s="112"/>
    </row>
    <row r="27" spans="4:11" ht="15" customHeight="1" x14ac:dyDescent="0.25">
      <c r="D27" s="10"/>
      <c r="E27" s="10"/>
      <c r="F27" s="10"/>
      <c r="G27" s="10"/>
      <c r="H27" s="10"/>
      <c r="I27" s="10"/>
      <c r="J27" s="10"/>
      <c r="K27" s="112"/>
    </row>
    <row r="28" spans="4:11" ht="15" customHeight="1" x14ac:dyDescent="0.25">
      <c r="D28" s="10"/>
      <c r="E28" s="10"/>
      <c r="F28" s="10"/>
      <c r="G28" s="10"/>
      <c r="H28" s="10"/>
      <c r="I28" s="10"/>
      <c r="J28" s="10"/>
      <c r="K28" s="112"/>
    </row>
    <row r="29" spans="4:11" ht="15" customHeight="1" x14ac:dyDescent="0.25">
      <c r="D29" s="10"/>
      <c r="E29" s="10"/>
      <c r="F29" s="10"/>
      <c r="G29" s="10"/>
      <c r="H29" s="10"/>
      <c r="I29" s="10"/>
      <c r="J29" s="10"/>
      <c r="K29" s="112"/>
    </row>
    <row r="30" spans="4:11" ht="15" customHeight="1" x14ac:dyDescent="0.25">
      <c r="D30" s="10"/>
      <c r="E30" s="10"/>
      <c r="F30" s="10"/>
      <c r="G30" s="10"/>
      <c r="H30" s="10"/>
      <c r="I30" s="10"/>
      <c r="J30" s="10"/>
      <c r="K30" s="112"/>
    </row>
  </sheetData>
  <mergeCells count="2">
    <mergeCell ref="M2:N2"/>
    <mergeCell ref="O2:P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3:J69"/>
  <sheetViews>
    <sheetView tabSelected="1" view="pageBreakPreview" topLeftCell="A40" zoomScale="90" zoomScaleNormal="100" zoomScaleSheetLayoutView="90" workbookViewId="0">
      <selection activeCell="H52" sqref="H52"/>
    </sheetView>
  </sheetViews>
  <sheetFormatPr baseColWidth="10" defaultRowHeight="15" x14ac:dyDescent="0.25"/>
  <cols>
    <col min="1" max="1" width="5.42578125" customWidth="1"/>
    <col min="2" max="2" width="41.28515625" customWidth="1"/>
    <col min="3" max="3" width="13.85546875" bestFit="1" customWidth="1"/>
    <col min="4" max="4" width="15.42578125" customWidth="1"/>
    <col min="7" max="7" width="16.42578125" customWidth="1"/>
    <col min="8" max="8" width="17.5703125" customWidth="1"/>
    <col min="9" max="9" width="24.28515625" bestFit="1" customWidth="1"/>
    <col min="10" max="10" width="12.5703125" bestFit="1" customWidth="1"/>
  </cols>
  <sheetData>
    <row r="3" spans="2:10" ht="18.75" x14ac:dyDescent="0.3">
      <c r="B3" s="179" t="s">
        <v>117</v>
      </c>
      <c r="C3" s="179" t="s">
        <v>75</v>
      </c>
      <c r="D3" s="179" t="s">
        <v>76</v>
      </c>
      <c r="E3" s="179" t="s">
        <v>77</v>
      </c>
      <c r="F3" s="179" t="s">
        <v>78</v>
      </c>
      <c r="G3" s="179" t="s">
        <v>86</v>
      </c>
    </row>
    <row r="4" spans="2:10" x14ac:dyDescent="0.25">
      <c r="B4" s="167" t="s">
        <v>7</v>
      </c>
      <c r="C4" s="115">
        <v>1332561</v>
      </c>
      <c r="D4" s="116">
        <f>+'VR MO'!E45</f>
        <v>1224841.3696709506</v>
      </c>
      <c r="E4" s="116">
        <f>+C4-D4</f>
        <v>107719.63032904943</v>
      </c>
      <c r="F4" s="121">
        <v>192</v>
      </c>
      <c r="G4" s="4">
        <f>E4*F4</f>
        <v>20682169.02317749</v>
      </c>
    </row>
    <row r="5" spans="2:10" x14ac:dyDescent="0.25">
      <c r="B5" s="167" t="s">
        <v>9</v>
      </c>
      <c r="C5" s="115">
        <v>1377886</v>
      </c>
      <c r="D5" s="116">
        <f>+'VR MO'!H45</f>
        <v>1235770.6327541505</v>
      </c>
      <c r="E5" s="116">
        <f t="shared" ref="E5:E9" si="0">+C5-D5</f>
        <v>142115.36724584945</v>
      </c>
      <c r="F5" s="121">
        <v>16</v>
      </c>
      <c r="G5" s="4">
        <f t="shared" ref="G5:G9" si="1">E5*F5</f>
        <v>2273845.8759335913</v>
      </c>
    </row>
    <row r="6" spans="2:10" ht="24" x14ac:dyDescent="0.25">
      <c r="B6" s="211" t="s">
        <v>13</v>
      </c>
      <c r="C6" s="115">
        <v>1377886</v>
      </c>
      <c r="D6" s="116">
        <f>+'VR MO'!I45</f>
        <v>1304586.7865585505</v>
      </c>
      <c r="E6" s="116">
        <f t="shared" si="0"/>
        <v>73299.21344144945</v>
      </c>
      <c r="F6" s="121">
        <v>9</v>
      </c>
      <c r="G6" s="4">
        <f t="shared" si="1"/>
        <v>659692.92097304505</v>
      </c>
    </row>
    <row r="7" spans="2:10" x14ac:dyDescent="0.25">
      <c r="B7" s="211" t="s">
        <v>11</v>
      </c>
      <c r="C7" s="115">
        <v>1377886</v>
      </c>
      <c r="D7" s="116">
        <f>+'VR MO'!L45</f>
        <v>1304586.7865585505</v>
      </c>
      <c r="E7" s="116">
        <f t="shared" si="0"/>
        <v>73299.21344144945</v>
      </c>
      <c r="F7" s="121">
        <v>1</v>
      </c>
      <c r="G7" s="4">
        <f t="shared" si="1"/>
        <v>73299.21344144945</v>
      </c>
    </row>
    <row r="8" spans="2:10" ht="24" x14ac:dyDescent="0.25">
      <c r="B8" s="211" t="s">
        <v>14</v>
      </c>
      <c r="C8" s="115">
        <v>1377886</v>
      </c>
      <c r="D8" s="116">
        <f>+'VR MO'!M45</f>
        <v>1332814.4225585505</v>
      </c>
      <c r="E8" s="116">
        <f t="shared" si="0"/>
        <v>45071.57744144951</v>
      </c>
      <c r="F8" s="121">
        <v>2</v>
      </c>
      <c r="G8" s="4">
        <f t="shared" si="1"/>
        <v>90143.15488289902</v>
      </c>
    </row>
    <row r="9" spans="2:10" x14ac:dyDescent="0.25">
      <c r="B9" s="211" t="s">
        <v>10</v>
      </c>
      <c r="C9" s="115">
        <v>1332561</v>
      </c>
      <c r="D9" s="116">
        <f>+'VR MO'!K45</f>
        <v>1390792.8725585504</v>
      </c>
      <c r="E9" s="116">
        <f t="shared" si="0"/>
        <v>-58231.872558550444</v>
      </c>
      <c r="F9" s="121">
        <v>1</v>
      </c>
      <c r="G9" s="4">
        <f t="shared" si="1"/>
        <v>-58231.872558550444</v>
      </c>
    </row>
    <row r="10" spans="2:10" x14ac:dyDescent="0.25">
      <c r="B10" s="211"/>
      <c r="C10" s="115"/>
      <c r="D10" s="116"/>
      <c r="E10" s="116"/>
      <c r="F10" s="121"/>
      <c r="G10" s="4"/>
    </row>
    <row r="11" spans="2:10" ht="18.75" x14ac:dyDescent="0.3">
      <c r="C11" s="115"/>
      <c r="D11" s="116"/>
      <c r="E11" s="116"/>
      <c r="F11" s="4"/>
      <c r="G11" s="123">
        <f>SUM(G4:G10)</f>
        <v>23720918.315849926</v>
      </c>
    </row>
    <row r="12" spans="2:10" x14ac:dyDescent="0.25">
      <c r="C12" s="4"/>
      <c r="D12" s="4"/>
      <c r="E12" s="4"/>
      <c r="F12" s="4"/>
      <c r="G12" s="117"/>
    </row>
    <row r="13" spans="2:10" x14ac:dyDescent="0.25">
      <c r="B13" s="168"/>
      <c r="C13" s="169"/>
      <c r="D13" s="169"/>
      <c r="E13" s="169"/>
      <c r="F13" s="169"/>
      <c r="G13" s="170"/>
    </row>
    <row r="14" spans="2:10" x14ac:dyDescent="0.25">
      <c r="C14" s="4"/>
      <c r="D14" s="4"/>
      <c r="E14" s="4"/>
      <c r="F14" s="4"/>
      <c r="G14" s="117"/>
    </row>
    <row r="15" spans="2:10" x14ac:dyDescent="0.25">
      <c r="C15" s="1" t="s">
        <v>79</v>
      </c>
      <c r="D15" s="1" t="s">
        <v>80</v>
      </c>
      <c r="E15" s="2" t="s">
        <v>77</v>
      </c>
    </row>
    <row r="16" spans="2:10" x14ac:dyDescent="0.25">
      <c r="B16" s="126" t="s">
        <v>155</v>
      </c>
      <c r="C16" s="116">
        <v>9572600</v>
      </c>
      <c r="D16" s="116"/>
      <c r="E16" s="116">
        <f>+C16</f>
        <v>9572600</v>
      </c>
      <c r="H16" t="s">
        <v>84</v>
      </c>
      <c r="I16" s="196">
        <v>2702744414.46</v>
      </c>
      <c r="J16" s="122"/>
    </row>
    <row r="17" spans="2:10" x14ac:dyDescent="0.25">
      <c r="B17">
        <v>330</v>
      </c>
      <c r="C17" s="116">
        <f>(17000*119%)*44</f>
        <v>890120</v>
      </c>
      <c r="D17" s="116"/>
      <c r="E17" s="116">
        <f t="shared" ref="E17:E18" si="2">+C17</f>
        <v>890120</v>
      </c>
      <c r="H17" t="s">
        <v>85</v>
      </c>
      <c r="I17" s="122">
        <f>+[2]Cotizacion!$Q$23</f>
        <v>2313989341.9499998</v>
      </c>
      <c r="J17" s="166"/>
    </row>
    <row r="18" spans="2:10" x14ac:dyDescent="0.25">
      <c r="B18">
        <v>331</v>
      </c>
      <c r="C18">
        <f>(15000*119%)*19</f>
        <v>339150</v>
      </c>
      <c r="E18" s="214">
        <f t="shared" si="2"/>
        <v>339150</v>
      </c>
      <c r="H18" t="s">
        <v>86</v>
      </c>
      <c r="I18" s="122">
        <f>+I16-I17</f>
        <v>388755072.51000023</v>
      </c>
      <c r="J18" s="166"/>
    </row>
    <row r="19" spans="2:10" x14ac:dyDescent="0.25">
      <c r="B19" s="126" t="s">
        <v>151</v>
      </c>
      <c r="C19" s="215">
        <f>((117232*32)*2)/6</f>
        <v>1250474.6666666667</v>
      </c>
      <c r="D19" s="215"/>
      <c r="E19" s="214">
        <f t="shared" ref="E19:E55" si="3">+C19-D19</f>
        <v>1250474.6666666667</v>
      </c>
      <c r="I19" s="208">
        <f>100%-(I17/I16)</f>
        <v>0.14383715693948529</v>
      </c>
      <c r="J19" s="166"/>
    </row>
    <row r="20" spans="2:10" x14ac:dyDescent="0.25">
      <c r="B20" s="126" t="s">
        <v>154</v>
      </c>
      <c r="C20" s="215">
        <f>+'VR MO'!Y44</f>
        <v>9874030.833333334</v>
      </c>
      <c r="D20" s="215"/>
      <c r="E20" s="214">
        <f t="shared" si="3"/>
        <v>9874030.833333334</v>
      </c>
      <c r="I20" s="208"/>
      <c r="J20" s="166"/>
    </row>
    <row r="21" spans="2:10" x14ac:dyDescent="0.25">
      <c r="B21" s="126" t="s">
        <v>153</v>
      </c>
      <c r="C21" s="215">
        <f>(350000*8)/6</f>
        <v>466666.66666666669</v>
      </c>
      <c r="D21" s="215"/>
      <c r="E21" s="214">
        <f t="shared" si="3"/>
        <v>466666.66666666669</v>
      </c>
      <c r="J21" s="127"/>
    </row>
    <row r="22" spans="2:10" x14ac:dyDescent="0.25">
      <c r="B22">
        <v>83</v>
      </c>
      <c r="C22" s="214">
        <f>24991.8585127206/6</f>
        <v>4165.3097521200998</v>
      </c>
      <c r="D22" s="214">
        <v>440.08657700000037</v>
      </c>
      <c r="E22" s="214">
        <f t="shared" si="3"/>
        <v>3725.2231751200993</v>
      </c>
      <c r="F22" t="s">
        <v>131</v>
      </c>
      <c r="I22" s="127"/>
    </row>
    <row r="23" spans="2:10" x14ac:dyDescent="0.25">
      <c r="B23" s="126">
        <v>84</v>
      </c>
      <c r="C23" s="214">
        <f>65196.1510533364/6</f>
        <v>10866.025175556066</v>
      </c>
      <c r="D23" s="214">
        <v>782.28215000000068</v>
      </c>
      <c r="E23" s="214">
        <f t="shared" si="3"/>
        <v>10083.743025556065</v>
      </c>
      <c r="F23" t="s">
        <v>131</v>
      </c>
      <c r="I23" s="127"/>
    </row>
    <row r="24" spans="2:10" x14ac:dyDescent="0.25">
      <c r="B24" s="126">
        <v>85</v>
      </c>
      <c r="C24" s="214">
        <f>287722.79348873/6</f>
        <v>47953.798914788327</v>
      </c>
      <c r="D24" s="214">
        <v>2981.1292680000024</v>
      </c>
      <c r="E24" s="214">
        <f t="shared" si="3"/>
        <v>44972.669646788323</v>
      </c>
      <c r="F24" t="s">
        <v>131</v>
      </c>
      <c r="I24" s="127"/>
    </row>
    <row r="25" spans="2:10" x14ac:dyDescent="0.25">
      <c r="B25" s="126">
        <v>93</v>
      </c>
      <c r="C25" s="214">
        <f>90629.8154129216/6</f>
        <v>15104.969235486933</v>
      </c>
      <c r="D25" s="214">
        <v>1205.1373800000013</v>
      </c>
      <c r="E25" s="214">
        <f t="shared" si="3"/>
        <v>13899.831855486931</v>
      </c>
      <c r="F25" t="s">
        <v>132</v>
      </c>
      <c r="I25" s="127"/>
    </row>
    <row r="26" spans="2:10" x14ac:dyDescent="0.25">
      <c r="B26" s="126">
        <v>94</v>
      </c>
      <c r="C26" s="214">
        <f>444086.089570718/6</f>
        <v>74014.348261786334</v>
      </c>
      <c r="D26" s="214">
        <v>5387.175444000005</v>
      </c>
      <c r="E26" s="214">
        <f t="shared" si="3"/>
        <v>68627.172817786326</v>
      </c>
      <c r="F26" t="s">
        <v>133</v>
      </c>
      <c r="I26" s="127"/>
    </row>
    <row r="27" spans="2:10" x14ac:dyDescent="0.25">
      <c r="B27" s="126">
        <v>95</v>
      </c>
      <c r="C27" s="214">
        <f>779416.402103709/6</f>
        <v>129902.7336839515</v>
      </c>
      <c r="D27" s="214">
        <v>9455.0426160000097</v>
      </c>
      <c r="E27" s="214">
        <f t="shared" si="3"/>
        <v>120447.6910679515</v>
      </c>
      <c r="F27" t="s">
        <v>133</v>
      </c>
      <c r="I27" s="127"/>
    </row>
    <row r="28" spans="2:10" x14ac:dyDescent="0.25">
      <c r="B28" s="126">
        <v>96</v>
      </c>
      <c r="C28" s="214">
        <f>441853.182869386/6</f>
        <v>73642.197144897669</v>
      </c>
      <c r="D28" s="214">
        <v>5027.7485310000047</v>
      </c>
      <c r="E28" s="214">
        <f t="shared" si="3"/>
        <v>68614.448613897664</v>
      </c>
      <c r="F28" t="s">
        <v>133</v>
      </c>
      <c r="I28" s="127"/>
    </row>
    <row r="29" spans="2:10" x14ac:dyDescent="0.25">
      <c r="B29" s="126">
        <v>97</v>
      </c>
      <c r="C29" s="214">
        <f>853233.732437435/6</f>
        <v>142205.62207290583</v>
      </c>
      <c r="D29" s="214">
        <v>9708.7557840000081</v>
      </c>
      <c r="E29" s="214">
        <f t="shared" si="3"/>
        <v>132496.86628890582</v>
      </c>
      <c r="F29" t="s">
        <v>133</v>
      </c>
      <c r="I29" s="127"/>
    </row>
    <row r="30" spans="2:10" x14ac:dyDescent="0.25">
      <c r="B30" s="126">
        <v>98</v>
      </c>
      <c r="C30" s="214">
        <f>180973.052153788/6</f>
        <v>30162.175358964669</v>
      </c>
      <c r="D30" s="214">
        <v>2384.9034180000021</v>
      </c>
      <c r="E30" s="214">
        <f t="shared" si="3"/>
        <v>27777.271940964667</v>
      </c>
      <c r="F30" t="s">
        <v>134</v>
      </c>
      <c r="I30" s="127"/>
    </row>
    <row r="31" spans="2:10" x14ac:dyDescent="0.25">
      <c r="B31" s="126">
        <v>99</v>
      </c>
      <c r="C31" s="214">
        <f>210060.565743941/6</f>
        <v>35010.094290656831</v>
      </c>
      <c r="D31" s="214">
        <v>2524.4456400000022</v>
      </c>
      <c r="E31" s="214">
        <f t="shared" si="3"/>
        <v>32485.648650656829</v>
      </c>
      <c r="F31" t="s">
        <v>134</v>
      </c>
      <c r="I31" s="127"/>
    </row>
    <row r="32" spans="2:10" x14ac:dyDescent="0.25">
      <c r="B32" s="126">
        <v>168</v>
      </c>
      <c r="C32" s="116">
        <f>65984.2362355842/6</f>
        <v>10997.3727059307</v>
      </c>
      <c r="D32" s="116">
        <v>751.62514500000066</v>
      </c>
      <c r="E32" s="214">
        <f t="shared" si="3"/>
        <v>10245.7475609307</v>
      </c>
      <c r="F32" t="s">
        <v>135</v>
      </c>
      <c r="I32" s="127"/>
    </row>
    <row r="33" spans="2:9" x14ac:dyDescent="0.25">
      <c r="B33" s="126">
        <v>169</v>
      </c>
      <c r="C33" s="116">
        <f>305275.603625172/6</f>
        <v>50879.267270862001</v>
      </c>
      <c r="D33" s="116">
        <v>3716.8973460000034</v>
      </c>
      <c r="E33" s="214">
        <f t="shared" si="3"/>
        <v>47162.369924861996</v>
      </c>
      <c r="F33" t="s">
        <v>135</v>
      </c>
      <c r="I33" s="127"/>
    </row>
    <row r="34" spans="2:9" x14ac:dyDescent="0.25">
      <c r="B34" s="126">
        <v>170</v>
      </c>
      <c r="C34" s="116">
        <f>42771.5409901604/6</f>
        <v>7128.5901650267333</v>
      </c>
      <c r="D34" s="116">
        <v>1084.6236330000011</v>
      </c>
      <c r="E34" s="214">
        <f t="shared" si="3"/>
        <v>6043.9665320267322</v>
      </c>
      <c r="F34" t="s">
        <v>136</v>
      </c>
      <c r="I34" s="127"/>
    </row>
    <row r="35" spans="2:9" x14ac:dyDescent="0.25">
      <c r="B35" s="126">
        <v>195</v>
      </c>
      <c r="C35" s="116">
        <f>232485.175581341/6</f>
        <v>38747.529263556833</v>
      </c>
      <c r="D35" s="116">
        <v>3012.8434100000027</v>
      </c>
      <c r="E35" s="214">
        <f t="shared" si="3"/>
        <v>35734.685853556832</v>
      </c>
      <c r="F35" t="s">
        <v>137</v>
      </c>
      <c r="I35" s="127"/>
    </row>
    <row r="36" spans="2:9" x14ac:dyDescent="0.25">
      <c r="B36" s="126">
        <v>197</v>
      </c>
      <c r="C36" s="116">
        <f>61936.3437885747/6</f>
        <v>10322.72396476245</v>
      </c>
      <c r="D36" s="116">
        <v>907.02444300000082</v>
      </c>
      <c r="E36" s="214">
        <f t="shared" si="3"/>
        <v>9415.6995217624499</v>
      </c>
      <c r="F36" t="s">
        <v>131</v>
      </c>
      <c r="I36" s="127"/>
    </row>
    <row r="37" spans="2:9" x14ac:dyDescent="0.25">
      <c r="B37" s="126">
        <v>198</v>
      </c>
      <c r="C37" s="116">
        <f>750257.245124005/6</f>
        <v>125042.87418733416</v>
      </c>
      <c r="D37" s="116">
        <v>9590.356293000008</v>
      </c>
      <c r="E37" s="214">
        <f t="shared" si="3"/>
        <v>115452.51789433416</v>
      </c>
      <c r="F37" t="s">
        <v>139</v>
      </c>
      <c r="I37" s="127"/>
    </row>
    <row r="38" spans="2:9" x14ac:dyDescent="0.25">
      <c r="B38" s="126">
        <v>199</v>
      </c>
      <c r="C38" s="116">
        <f>451397.9428/6</f>
        <v>75232.99046666667</v>
      </c>
      <c r="D38" s="116">
        <v>4513.9794280000042</v>
      </c>
      <c r="E38" s="214">
        <f t="shared" si="3"/>
        <v>70719.011038666664</v>
      </c>
      <c r="F38" t="s">
        <v>139</v>
      </c>
      <c r="I38" s="127"/>
    </row>
    <row r="39" spans="2:9" x14ac:dyDescent="0.25">
      <c r="B39" s="126">
        <v>200</v>
      </c>
      <c r="C39" s="116">
        <f>25314.2564595478/6</f>
        <v>4219.0427432579663</v>
      </c>
      <c r="D39" s="116">
        <v>310.79858400000029</v>
      </c>
      <c r="E39" s="214">
        <f t="shared" si="3"/>
        <v>3908.2441592579662</v>
      </c>
      <c r="F39" t="s">
        <v>140</v>
      </c>
      <c r="I39" s="127"/>
    </row>
    <row r="40" spans="2:9" x14ac:dyDescent="0.25">
      <c r="B40" s="126">
        <v>201</v>
      </c>
      <c r="C40" s="116">
        <f>20526.0409195551/6</f>
        <v>3421.0068199258499</v>
      </c>
      <c r="D40" s="116">
        <v>220.94185000000022</v>
      </c>
      <c r="E40" s="214">
        <f t="shared" si="3"/>
        <v>3200.0649699258497</v>
      </c>
      <c r="F40" t="s">
        <v>140</v>
      </c>
      <c r="I40" s="127"/>
    </row>
    <row r="41" spans="2:9" x14ac:dyDescent="0.25">
      <c r="B41" s="126">
        <v>202</v>
      </c>
      <c r="C41" s="116">
        <f>65864.8295958414/6</f>
        <v>10977.471599306898</v>
      </c>
      <c r="D41" s="116">
        <v>2841.5870560000026</v>
      </c>
      <c r="E41" s="214">
        <f t="shared" si="3"/>
        <v>8135.8845433068964</v>
      </c>
      <c r="F41" t="s">
        <v>144</v>
      </c>
      <c r="I41" s="127"/>
    </row>
    <row r="42" spans="2:9" x14ac:dyDescent="0.25">
      <c r="B42" s="126">
        <v>203</v>
      </c>
      <c r="C42" s="116">
        <f>62951.3020711263/6</f>
        <v>10491.88367852105</v>
      </c>
      <c r="D42" s="116">
        <v>1167.080400000001</v>
      </c>
      <c r="E42" s="214">
        <f t="shared" si="3"/>
        <v>9324.8032785210489</v>
      </c>
      <c r="F42" t="s">
        <v>141</v>
      </c>
      <c r="I42" s="127"/>
    </row>
    <row r="43" spans="2:9" x14ac:dyDescent="0.25">
      <c r="B43" s="126">
        <v>204</v>
      </c>
      <c r="C43" s="116">
        <f>101734.653574734/6</f>
        <v>16955.775595789</v>
      </c>
      <c r="D43" s="116">
        <v>1167.080400000001</v>
      </c>
      <c r="E43" s="214">
        <f t="shared" si="3"/>
        <v>15788.695195789</v>
      </c>
      <c r="F43" t="s">
        <v>142</v>
      </c>
      <c r="I43" s="127"/>
    </row>
    <row r="44" spans="2:9" x14ac:dyDescent="0.25">
      <c r="B44" s="126">
        <v>205</v>
      </c>
      <c r="C44" s="116">
        <f>75585.3703/6</f>
        <v>12597.561716666665</v>
      </c>
      <c r="D44" s="116">
        <v>755.85370300000056</v>
      </c>
      <c r="E44" s="214">
        <f t="shared" si="3"/>
        <v>11841.708013666665</v>
      </c>
      <c r="F44" t="s">
        <v>142</v>
      </c>
      <c r="I44" s="127"/>
    </row>
    <row r="45" spans="2:9" x14ac:dyDescent="0.25">
      <c r="B45" s="126">
        <v>206</v>
      </c>
      <c r="C45" s="116">
        <f>97722.5827295329/6</f>
        <v>16287.097121588818</v>
      </c>
      <c r="D45" s="116">
        <v>1507.4788500000013</v>
      </c>
      <c r="E45" s="214">
        <f t="shared" si="3"/>
        <v>14779.618271588817</v>
      </c>
      <c r="F45" t="s">
        <v>143</v>
      </c>
      <c r="I45" s="127"/>
    </row>
    <row r="46" spans="2:9" x14ac:dyDescent="0.25">
      <c r="B46" s="126">
        <v>207</v>
      </c>
      <c r="C46" s="116">
        <f>471418.322574192/6</f>
        <v>78569.720429032008</v>
      </c>
      <c r="D46" s="116">
        <v>7103.967626000006</v>
      </c>
      <c r="E46" s="214">
        <f t="shared" si="3"/>
        <v>71465.752803031995</v>
      </c>
      <c r="F46" t="s">
        <v>143</v>
      </c>
      <c r="I46" s="127"/>
    </row>
    <row r="47" spans="2:9" x14ac:dyDescent="0.25">
      <c r="B47" s="126">
        <v>209</v>
      </c>
      <c r="C47" s="116">
        <f>230837.3627477/6</f>
        <v>38472.893791283335</v>
      </c>
      <c r="D47" s="116">
        <v>2397.589092000002</v>
      </c>
      <c r="E47" s="214">
        <f t="shared" si="3"/>
        <v>36075.304699283333</v>
      </c>
      <c r="F47" t="s">
        <v>138</v>
      </c>
      <c r="I47" s="127"/>
    </row>
    <row r="48" spans="2:9" x14ac:dyDescent="0.25">
      <c r="B48" s="126">
        <v>211</v>
      </c>
      <c r="C48" s="116">
        <f>63428.284/6</f>
        <v>10571.380666666666</v>
      </c>
      <c r="D48" s="116">
        <v>634.28284000000065</v>
      </c>
      <c r="E48" s="214">
        <f t="shared" si="3"/>
        <v>9937.0978266666662</v>
      </c>
      <c r="F48" t="s">
        <v>145</v>
      </c>
      <c r="I48" s="127"/>
    </row>
    <row r="49" spans="2:9" x14ac:dyDescent="0.25">
      <c r="B49" s="126">
        <v>212</v>
      </c>
      <c r="C49" s="116">
        <f>135419.3839/6</f>
        <v>22569.897316666666</v>
      </c>
      <c r="D49" s="116">
        <v>1354.1938390000012</v>
      </c>
      <c r="E49" s="214">
        <f t="shared" si="3"/>
        <v>21215.703477666666</v>
      </c>
      <c r="F49" t="s">
        <v>145</v>
      </c>
      <c r="I49" s="127"/>
    </row>
    <row r="50" spans="2:9" x14ac:dyDescent="0.25">
      <c r="B50" s="126">
        <v>222</v>
      </c>
      <c r="C50" s="116">
        <f>590075.316432378/6</f>
        <v>98345.886072063004</v>
      </c>
      <c r="D50" s="116">
        <v>7395.7377130000068</v>
      </c>
      <c r="E50" s="214">
        <f t="shared" si="3"/>
        <v>90950.148359062994</v>
      </c>
      <c r="F50" t="s">
        <v>146</v>
      </c>
      <c r="I50" s="127"/>
    </row>
    <row r="51" spans="2:9" x14ac:dyDescent="0.25">
      <c r="B51" s="126">
        <v>223</v>
      </c>
      <c r="C51" s="116">
        <f>28199.1264636583/6</f>
        <v>4699.854410609717</v>
      </c>
      <c r="D51" s="116">
        <v>355.19838200000032</v>
      </c>
      <c r="E51" s="214">
        <f t="shared" si="3"/>
        <v>4344.6560286097165</v>
      </c>
      <c r="F51" t="s">
        <v>147</v>
      </c>
      <c r="I51" s="127"/>
    </row>
    <row r="52" spans="2:9" x14ac:dyDescent="0.25">
      <c r="B52" s="126">
        <v>224</v>
      </c>
      <c r="C52" s="116">
        <f>214387.5942/6</f>
        <v>35731.265699999996</v>
      </c>
      <c r="D52" s="116">
        <v>2143.8759420000019</v>
      </c>
      <c r="E52" s="214">
        <f t="shared" si="3"/>
        <v>33587.389757999998</v>
      </c>
      <c r="F52" t="s">
        <v>148</v>
      </c>
    </row>
    <row r="53" spans="2:9" x14ac:dyDescent="0.25">
      <c r="B53" s="126">
        <v>228</v>
      </c>
      <c r="C53" s="116">
        <f>89770.0852434135/6</f>
        <v>14961.680873902251</v>
      </c>
      <c r="D53" s="116">
        <v>998.9954520000008</v>
      </c>
      <c r="E53" s="214">
        <f t="shared" si="3"/>
        <v>13962.68542190225</v>
      </c>
      <c r="F53" t="s">
        <v>149</v>
      </c>
      <c r="G53" s="4"/>
    </row>
    <row r="54" spans="2:9" x14ac:dyDescent="0.25">
      <c r="B54" s="126">
        <v>229</v>
      </c>
      <c r="C54" s="116">
        <f>246418.8762/6</f>
        <v>41069.812700000002</v>
      </c>
      <c r="D54" s="116">
        <v>2464.1887620000025</v>
      </c>
      <c r="E54" s="214">
        <f t="shared" si="3"/>
        <v>38605.623937999997</v>
      </c>
      <c r="F54" t="s">
        <v>150</v>
      </c>
      <c r="G54" s="4"/>
    </row>
    <row r="55" spans="2:9" x14ac:dyDescent="0.25">
      <c r="B55" s="126" t="s">
        <v>157</v>
      </c>
      <c r="C55" s="216">
        <v>120000</v>
      </c>
      <c r="D55" s="216"/>
      <c r="E55" s="214">
        <f t="shared" si="3"/>
        <v>120000</v>
      </c>
      <c r="G55" s="4"/>
    </row>
    <row r="56" spans="2:9" x14ac:dyDescent="0.25">
      <c r="B56" s="126"/>
      <c r="C56" s="126"/>
      <c r="D56" s="126"/>
      <c r="E56" s="126"/>
      <c r="G56" s="4"/>
    </row>
    <row r="57" spans="2:9" x14ac:dyDescent="0.25">
      <c r="B57" s="126"/>
      <c r="C57" s="116"/>
      <c r="D57" s="116"/>
      <c r="E57" s="214"/>
      <c r="G57" s="4"/>
    </row>
    <row r="58" spans="2:9" x14ac:dyDescent="0.25">
      <c r="B58" s="126"/>
      <c r="C58" s="116"/>
      <c r="D58" s="116"/>
      <c r="E58" s="214"/>
      <c r="G58" s="4"/>
    </row>
    <row r="59" spans="2:9" x14ac:dyDescent="0.25">
      <c r="B59" s="4"/>
      <c r="C59" s="4"/>
      <c r="D59" s="4"/>
      <c r="E59" s="128">
        <f>SUM(E16:E58)</f>
        <v>23718070.112820201</v>
      </c>
    </row>
    <row r="60" spans="2:9" x14ac:dyDescent="0.25">
      <c r="C60" s="4"/>
      <c r="D60" s="4"/>
      <c r="E60" s="4">
        <f>+G11-E59</f>
        <v>2848.2030297257006</v>
      </c>
      <c r="F60" s="204"/>
    </row>
    <row r="61" spans="2:9" x14ac:dyDescent="0.25">
      <c r="C61" s="4"/>
      <c r="D61" s="4"/>
      <c r="E61" s="4"/>
    </row>
    <row r="62" spans="2:9" x14ac:dyDescent="0.25">
      <c r="C62" s="4"/>
      <c r="D62" s="4"/>
      <c r="E62" s="4"/>
    </row>
    <row r="63" spans="2:9" x14ac:dyDescent="0.25">
      <c r="C63" s="4"/>
      <c r="D63" s="4"/>
      <c r="E63" s="4"/>
      <c r="G63" s="4"/>
    </row>
    <row r="64" spans="2:9" x14ac:dyDescent="0.25">
      <c r="B64" s="225" t="s">
        <v>118</v>
      </c>
      <c r="C64" s="225"/>
      <c r="D64" s="225"/>
      <c r="E64" s="4"/>
    </row>
    <row r="65" spans="2:5" x14ac:dyDescent="0.25">
      <c r="B65" s="225"/>
      <c r="C65" s="225"/>
      <c r="D65" s="225"/>
      <c r="E65" s="4"/>
    </row>
    <row r="66" spans="2:5" x14ac:dyDescent="0.25">
      <c r="B66" s="225"/>
      <c r="C66" s="225"/>
      <c r="D66" s="225"/>
      <c r="E66" s="4"/>
    </row>
    <row r="67" spans="2:5" x14ac:dyDescent="0.25">
      <c r="B67" s="225"/>
      <c r="C67" s="225"/>
      <c r="D67" s="225"/>
      <c r="E67" s="4"/>
    </row>
    <row r="68" spans="2:5" x14ac:dyDescent="0.25">
      <c r="B68" s="225"/>
      <c r="C68" s="225"/>
      <c r="D68" s="225"/>
    </row>
    <row r="69" spans="2:5" x14ac:dyDescent="0.25">
      <c r="E69" s="4"/>
    </row>
  </sheetData>
  <mergeCells count="1">
    <mergeCell ref="B64:D68"/>
  </mergeCells>
  <conditionalFormatting sqref="I16">
    <cfRule type="expression" dxfId="3" priority="3">
      <formula>ISERROR($O16)</formula>
    </cfRule>
  </conditionalFormatting>
  <conditionalFormatting sqref="I16">
    <cfRule type="expression" dxfId="2" priority="2">
      <formula>ISERROR($O16)</formula>
    </cfRule>
  </conditionalFormatting>
  <conditionalFormatting sqref="I16">
    <cfRule type="expression" dxfId="1" priority="1">
      <formula>ISERROR($O16)</formula>
    </cfRule>
  </conditionalFormatting>
  <conditionalFormatting sqref="I16">
    <cfRule type="expression" dxfId="0" priority="4">
      <formula>ISERROR($J17)</formula>
    </cfRule>
  </conditionalFormatting>
  <pageMargins left="0.7" right="0.7" top="0.75" bottom="0.75" header="0.3" footer="0.3"/>
  <pageSetup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6"/>
  <sheetViews>
    <sheetView workbookViewId="0">
      <selection activeCell="N9" sqref="N9"/>
    </sheetView>
  </sheetViews>
  <sheetFormatPr baseColWidth="10" defaultRowHeight="15" x14ac:dyDescent="0.25"/>
  <cols>
    <col min="1" max="1" width="4" customWidth="1"/>
    <col min="2" max="2" width="22.42578125" customWidth="1"/>
    <col min="6" max="6" width="21.140625" customWidth="1"/>
    <col min="7" max="7" width="13.140625" customWidth="1"/>
    <col min="8" max="9" width="15.42578125" hidden="1" customWidth="1"/>
    <col min="10" max="10" width="15.42578125" customWidth="1"/>
    <col min="11" max="11" width="13.140625" hidden="1" customWidth="1"/>
    <col min="12" max="12" width="15.42578125" customWidth="1"/>
    <col min="13" max="13" width="16.85546875" customWidth="1"/>
    <col min="14" max="14" width="18.28515625" bestFit="1" customWidth="1"/>
  </cols>
  <sheetData>
    <row r="1" spans="2:17" ht="15.75" thickBot="1" x14ac:dyDescent="0.3"/>
    <row r="2" spans="2:17" ht="30" x14ac:dyDescent="0.25">
      <c r="B2" s="129"/>
      <c r="C2" s="130"/>
      <c r="D2" s="130"/>
      <c r="E2" s="130"/>
      <c r="F2" s="131"/>
      <c r="G2" s="180" t="s">
        <v>114</v>
      </c>
      <c r="H2" s="181" t="s">
        <v>123</v>
      </c>
      <c r="I2" s="181" t="s">
        <v>124</v>
      </c>
      <c r="J2" s="181" t="s">
        <v>125</v>
      </c>
      <c r="K2" s="181" t="s">
        <v>130</v>
      </c>
      <c r="L2" s="181" t="s">
        <v>23</v>
      </c>
      <c r="M2" s="181" t="s">
        <v>115</v>
      </c>
      <c r="N2" s="2"/>
    </row>
    <row r="3" spans="2:17" ht="18.75" x14ac:dyDescent="0.3">
      <c r="B3" s="132"/>
      <c r="C3" s="133" t="s">
        <v>89</v>
      </c>
      <c r="D3" s="133" t="s">
        <v>90</v>
      </c>
      <c r="E3" s="134"/>
      <c r="F3" s="135"/>
      <c r="G3" s="182">
        <v>192</v>
      </c>
      <c r="H3" s="183">
        <v>0</v>
      </c>
      <c r="I3" s="183">
        <v>0</v>
      </c>
      <c r="J3" s="183">
        <v>25</v>
      </c>
      <c r="K3" s="183">
        <v>0</v>
      </c>
      <c r="L3" s="183">
        <v>3</v>
      </c>
      <c r="M3" s="183">
        <v>1</v>
      </c>
      <c r="N3" s="195">
        <f>SUM(G3:M3)</f>
        <v>221</v>
      </c>
    </row>
    <row r="4" spans="2:17" x14ac:dyDescent="0.25">
      <c r="B4" s="136" t="s">
        <v>91</v>
      </c>
      <c r="C4" s="137">
        <f>30500*119%</f>
        <v>36295</v>
      </c>
      <c r="D4" s="137">
        <f>28500*119%</f>
        <v>33915</v>
      </c>
      <c r="E4" s="138"/>
      <c r="F4" s="139"/>
      <c r="G4" s="140">
        <f>+D4</f>
        <v>33915</v>
      </c>
      <c r="H4" s="137">
        <f>+D4</f>
        <v>33915</v>
      </c>
      <c r="I4" s="137">
        <f>+D4</f>
        <v>33915</v>
      </c>
      <c r="J4" s="137">
        <f>+C4</f>
        <v>36295</v>
      </c>
      <c r="K4" s="137">
        <f>+C4</f>
        <v>36295</v>
      </c>
      <c r="L4" s="137">
        <f>+C4</f>
        <v>36295</v>
      </c>
      <c r="M4" s="137">
        <f>+C4</f>
        <v>36295</v>
      </c>
    </row>
    <row r="5" spans="2:17" x14ac:dyDescent="0.25">
      <c r="B5" s="141" t="s">
        <v>92</v>
      </c>
      <c r="C5" s="142">
        <f>28000*119%</f>
        <v>33320</v>
      </c>
      <c r="D5" s="142">
        <v>33915</v>
      </c>
      <c r="E5" s="143"/>
      <c r="F5" s="144"/>
      <c r="G5" s="145">
        <v>26180</v>
      </c>
      <c r="H5" s="142">
        <f>+D5</f>
        <v>33915</v>
      </c>
      <c r="I5" s="142">
        <f>+D5</f>
        <v>33915</v>
      </c>
      <c r="J5" s="142">
        <f>+C5</f>
        <v>33320</v>
      </c>
      <c r="K5" s="142">
        <f>+C5</f>
        <v>33320</v>
      </c>
      <c r="L5" s="142">
        <f>+K5</f>
        <v>33320</v>
      </c>
      <c r="M5" s="142">
        <v>33915</v>
      </c>
    </row>
    <row r="6" spans="2:17" x14ac:dyDescent="0.25">
      <c r="B6" s="136" t="s">
        <v>93</v>
      </c>
      <c r="C6" s="137">
        <f>4000*119%</f>
        <v>4760</v>
      </c>
      <c r="D6" s="137">
        <f>3200*119%</f>
        <v>3808</v>
      </c>
      <c r="E6" s="138"/>
      <c r="F6" s="139"/>
      <c r="G6" s="163">
        <f>(D6/N24)*4</f>
        <v>2538.6666666666665</v>
      </c>
      <c r="H6" s="137">
        <f>(D6/N24)*4</f>
        <v>2538.6666666666665</v>
      </c>
      <c r="I6" s="137">
        <f>(D6/N24)*4</f>
        <v>2538.6666666666665</v>
      </c>
      <c r="J6" s="137"/>
      <c r="K6" s="137"/>
      <c r="L6" s="137"/>
      <c r="M6" s="137"/>
    </row>
    <row r="7" spans="2:17" x14ac:dyDescent="0.25">
      <c r="B7" s="141" t="s">
        <v>94</v>
      </c>
      <c r="C7" s="142">
        <f>4000*119%</f>
        <v>4760</v>
      </c>
      <c r="D7" s="142"/>
      <c r="E7" s="143" t="s">
        <v>95</v>
      </c>
      <c r="F7" s="144"/>
      <c r="G7" s="145"/>
      <c r="H7" s="142"/>
      <c r="I7" s="142"/>
      <c r="J7" s="142">
        <f>(C7/N24)*4</f>
        <v>3173.3333333333335</v>
      </c>
      <c r="K7" s="142">
        <f>(C7/N24)*4</f>
        <v>3173.3333333333335</v>
      </c>
      <c r="L7" s="142">
        <f>(C7/N24)*4</f>
        <v>3173.3333333333335</v>
      </c>
      <c r="M7" s="143"/>
    </row>
    <row r="8" spans="2:17" x14ac:dyDescent="0.25">
      <c r="B8" s="136" t="s">
        <v>96</v>
      </c>
      <c r="C8" s="137"/>
      <c r="D8" s="137">
        <f>7500*119%</f>
        <v>8925</v>
      </c>
      <c r="E8" s="138" t="s">
        <v>97</v>
      </c>
      <c r="F8" s="139"/>
      <c r="G8" s="163">
        <f>(14280/N24)*4</f>
        <v>9520</v>
      </c>
      <c r="H8" s="137"/>
      <c r="I8" s="137">
        <v>9520</v>
      </c>
      <c r="J8" s="137"/>
      <c r="K8" s="137"/>
      <c r="L8" s="137"/>
      <c r="M8" s="137"/>
    </row>
    <row r="9" spans="2:17" x14ac:dyDescent="0.25">
      <c r="B9" s="141" t="s">
        <v>98</v>
      </c>
      <c r="C9" s="142">
        <f>4800*119%</f>
        <v>5712</v>
      </c>
      <c r="D9" s="142">
        <f>4800*119%</f>
        <v>5712</v>
      </c>
      <c r="E9" s="143"/>
      <c r="F9" s="144"/>
      <c r="G9" s="146"/>
      <c r="H9" s="142"/>
      <c r="I9" s="142"/>
      <c r="J9" s="142">
        <v>1500</v>
      </c>
      <c r="K9" s="142">
        <v>1500</v>
      </c>
      <c r="L9" s="142">
        <v>1500</v>
      </c>
      <c r="M9" s="142"/>
    </row>
    <row r="10" spans="2:17" x14ac:dyDescent="0.25">
      <c r="B10" s="136" t="s">
        <v>99</v>
      </c>
      <c r="C10" s="137">
        <f>2230*119%</f>
        <v>2653.7</v>
      </c>
      <c r="D10" s="137">
        <f>2230*119%</f>
        <v>2653.7</v>
      </c>
      <c r="E10" s="138"/>
      <c r="F10" s="139"/>
      <c r="G10" s="140"/>
      <c r="H10" s="137"/>
      <c r="I10" s="137"/>
      <c r="J10" s="137"/>
      <c r="K10" s="137"/>
      <c r="L10" s="137"/>
      <c r="M10" s="140"/>
      <c r="N10" s="226"/>
      <c r="O10" s="227"/>
      <c r="P10" s="227"/>
      <c r="Q10" s="227"/>
    </row>
    <row r="11" spans="2:17" x14ac:dyDescent="0.25">
      <c r="B11" s="141" t="s">
        <v>100</v>
      </c>
      <c r="C11" s="142">
        <f>(2135*119%)/2</f>
        <v>1270.325</v>
      </c>
      <c r="D11" s="142">
        <f>(2135*119%)/2</f>
        <v>1270.325</v>
      </c>
      <c r="E11" s="143"/>
      <c r="F11" s="144" t="s">
        <v>101</v>
      </c>
      <c r="G11" s="145"/>
      <c r="H11" s="143"/>
      <c r="I11" s="143"/>
      <c r="J11" s="143"/>
      <c r="K11" s="143"/>
      <c r="L11" s="143"/>
      <c r="M11" s="145"/>
      <c r="N11" s="226"/>
      <c r="O11" s="227"/>
      <c r="P11" s="227"/>
      <c r="Q11" s="227"/>
    </row>
    <row r="12" spans="2:17" x14ac:dyDescent="0.25">
      <c r="B12" s="147" t="s">
        <v>102</v>
      </c>
      <c r="C12" s="148">
        <f>1890*119%</f>
        <v>2249.1</v>
      </c>
      <c r="D12" s="148">
        <f>1890*119%</f>
        <v>2249.1</v>
      </c>
      <c r="E12" s="149"/>
      <c r="F12" s="150"/>
      <c r="G12" s="151"/>
      <c r="H12" s="148"/>
      <c r="I12" s="148"/>
      <c r="J12" s="148"/>
      <c r="K12" s="148"/>
      <c r="L12" s="148"/>
      <c r="M12" s="151"/>
      <c r="N12" s="226"/>
      <c r="O12" s="227"/>
      <c r="P12" s="227"/>
      <c r="Q12" s="227"/>
    </row>
    <row r="13" spans="2:17" x14ac:dyDescent="0.25">
      <c r="B13" s="132"/>
      <c r="C13" s="152">
        <f>SUM(C4:C12)</f>
        <v>91020.125</v>
      </c>
      <c r="D13" s="152">
        <f>SUM(D4:D12)</f>
        <v>92448.125</v>
      </c>
      <c r="E13" s="134"/>
      <c r="F13" s="135"/>
      <c r="G13" s="153"/>
      <c r="H13" s="142"/>
      <c r="I13" s="142"/>
      <c r="J13" s="142"/>
      <c r="K13" s="142"/>
      <c r="L13" s="142"/>
      <c r="M13" s="134"/>
      <c r="N13" s="189"/>
      <c r="O13" s="189"/>
      <c r="P13" s="189"/>
      <c r="Q13" s="189"/>
    </row>
    <row r="14" spans="2:17" x14ac:dyDescent="0.25">
      <c r="B14" s="154" t="s">
        <v>103</v>
      </c>
      <c r="C14" s="155">
        <f>17000*119%</f>
        <v>20230</v>
      </c>
      <c r="D14" s="155">
        <f>13000*119%</f>
        <v>15470</v>
      </c>
      <c r="E14" s="154" t="s">
        <v>95</v>
      </c>
      <c r="F14" s="154"/>
      <c r="G14" s="155">
        <f>(D14/N24)*4</f>
        <v>10313.333333333334</v>
      </c>
      <c r="H14" s="155">
        <f>(D14/N24)*4</f>
        <v>10313.333333333334</v>
      </c>
      <c r="I14" s="155">
        <f>(D14/N24)*4</f>
        <v>10313.333333333334</v>
      </c>
      <c r="J14" s="155">
        <f>(D14/N24)*4</f>
        <v>10313.333333333334</v>
      </c>
      <c r="K14" s="155">
        <f>(D14/N24)*4</f>
        <v>10313.333333333334</v>
      </c>
      <c r="L14" s="155">
        <f>(D14/N24)*4</f>
        <v>10313.333333333334</v>
      </c>
      <c r="M14" s="155"/>
      <c r="N14" s="189"/>
      <c r="O14" s="189"/>
      <c r="P14" s="189"/>
      <c r="Q14" s="189"/>
    </row>
    <row r="15" spans="2:17" x14ac:dyDescent="0.25">
      <c r="B15" s="156" t="s">
        <v>104</v>
      </c>
      <c r="C15" s="157">
        <f>32500*119%</f>
        <v>38675</v>
      </c>
      <c r="D15" s="156"/>
      <c r="E15" s="156"/>
      <c r="F15" s="156"/>
      <c r="G15" s="156"/>
      <c r="H15" s="156"/>
      <c r="I15" s="156"/>
      <c r="J15" s="157">
        <f>(C15/N24)*4</f>
        <v>25783.333333333332</v>
      </c>
      <c r="K15" s="157">
        <f>(C15/N24)*4</f>
        <v>25783.333333333332</v>
      </c>
      <c r="L15" s="157">
        <f>(C15/N24)*4</f>
        <v>25783.333333333332</v>
      </c>
      <c r="M15" s="157">
        <f>(C15/N24)*4</f>
        <v>25783.333333333332</v>
      </c>
      <c r="N15" s="189"/>
      <c r="O15" s="189"/>
      <c r="P15" s="189"/>
      <c r="Q15" s="189"/>
    </row>
    <row r="16" spans="2:17" x14ac:dyDescent="0.25">
      <c r="B16" s="156" t="s">
        <v>113</v>
      </c>
      <c r="C16" s="157">
        <v>176</v>
      </c>
      <c r="D16" s="156">
        <v>176</v>
      </c>
      <c r="E16" s="156"/>
      <c r="F16" s="156"/>
      <c r="G16" s="156"/>
      <c r="H16" s="156"/>
      <c r="I16" s="156"/>
      <c r="J16" s="156"/>
      <c r="K16" s="156"/>
      <c r="L16" s="156"/>
      <c r="M16" s="157"/>
    </row>
    <row r="17" spans="2:17" ht="15.75" thickBot="1" x14ac:dyDescent="0.3">
      <c r="B17" s="158"/>
      <c r="C17" s="159"/>
      <c r="D17" s="159"/>
      <c r="E17" s="159"/>
      <c r="F17" s="160"/>
    </row>
    <row r="18" spans="2:17" x14ac:dyDescent="0.25">
      <c r="G18" s="161">
        <f>SUM(G4:G17)</f>
        <v>82466.999999999985</v>
      </c>
      <c r="H18" s="161">
        <f t="shared" ref="H18:M18" si="0">SUM(H4:H17)</f>
        <v>80682</v>
      </c>
      <c r="I18" s="161">
        <f t="shared" si="0"/>
        <v>90202</v>
      </c>
      <c r="J18" s="161">
        <f t="shared" si="0"/>
        <v>110384.99999999999</v>
      </c>
      <c r="K18" s="161">
        <f t="shared" si="0"/>
        <v>110384.99999999999</v>
      </c>
      <c r="L18" s="161">
        <f t="shared" si="0"/>
        <v>110384.99999999999</v>
      </c>
      <c r="M18" s="161">
        <f t="shared" si="0"/>
        <v>95993.333333333328</v>
      </c>
    </row>
    <row r="19" spans="2:17" x14ac:dyDescent="0.25">
      <c r="G19" s="4"/>
      <c r="H19" s="4"/>
      <c r="I19" s="4"/>
      <c r="J19" s="4"/>
      <c r="K19" s="4"/>
      <c r="L19" s="4"/>
      <c r="M19" s="4"/>
      <c r="N19" s="187" t="s">
        <v>33</v>
      </c>
    </row>
    <row r="20" spans="2:17" ht="37.5" x14ac:dyDescent="0.3">
      <c r="F20" s="185" t="s">
        <v>105</v>
      </c>
      <c r="G20" s="186">
        <f>G18*G3</f>
        <v>15833663.999999996</v>
      </c>
      <c r="H20" s="186">
        <f t="shared" ref="H20:M20" si="1">H18*H3</f>
        <v>0</v>
      </c>
      <c r="I20" s="186">
        <f t="shared" si="1"/>
        <v>0</v>
      </c>
      <c r="J20" s="186">
        <f t="shared" si="1"/>
        <v>2759624.9999999995</v>
      </c>
      <c r="K20" s="186">
        <f t="shared" si="1"/>
        <v>0</v>
      </c>
      <c r="L20" s="186">
        <f t="shared" si="1"/>
        <v>331154.99999999994</v>
      </c>
      <c r="M20" s="186">
        <f t="shared" si="1"/>
        <v>95993.333333333328</v>
      </c>
      <c r="N20" s="188">
        <f>SUM(G20:M20)</f>
        <v>19020437.333333328</v>
      </c>
    </row>
    <row r="21" spans="2:17" x14ac:dyDescent="0.25">
      <c r="M21" s="134" t="s">
        <v>106</v>
      </c>
      <c r="N21" s="152">
        <f>N3</f>
        <v>221</v>
      </c>
    </row>
    <row r="22" spans="2:17" x14ac:dyDescent="0.25">
      <c r="M22" s="134" t="s">
        <v>107</v>
      </c>
      <c r="N22" s="152">
        <f>N20/N21</f>
        <v>86065.327300150806</v>
      </c>
      <c r="Q22">
        <f>+Q21/8</f>
        <v>0</v>
      </c>
    </row>
    <row r="23" spans="2:17" ht="42" x14ac:dyDescent="0.35">
      <c r="B23" s="228"/>
      <c r="C23" s="228"/>
      <c r="D23" s="228"/>
      <c r="F23" s="185" t="s">
        <v>126</v>
      </c>
      <c r="G23" s="186">
        <v>598</v>
      </c>
      <c r="I23" s="190"/>
      <c r="J23" s="190"/>
      <c r="K23" s="190"/>
      <c r="M23" s="191" t="s">
        <v>127</v>
      </c>
      <c r="N23" s="206">
        <v>2</v>
      </c>
      <c r="O23" t="s">
        <v>108</v>
      </c>
    </row>
    <row r="24" spans="2:17" ht="21" x14ac:dyDescent="0.35">
      <c r="B24" s="228"/>
      <c r="C24" s="228"/>
      <c r="D24" s="228"/>
      <c r="F24" s="190"/>
      <c r="G24" s="190"/>
      <c r="I24" s="190"/>
      <c r="J24" s="190"/>
      <c r="K24" s="190"/>
      <c r="M24" s="192" t="s">
        <v>109</v>
      </c>
      <c r="N24" s="193">
        <v>6</v>
      </c>
    </row>
    <row r="25" spans="2:17" ht="21" x14ac:dyDescent="0.35">
      <c r="B25" s="228"/>
      <c r="C25" s="228"/>
      <c r="D25" s="228"/>
      <c r="F25" s="190"/>
      <c r="G25" s="190"/>
      <c r="I25" s="190"/>
      <c r="J25" s="190"/>
      <c r="K25" s="190"/>
      <c r="M25" s="192" t="s">
        <v>110</v>
      </c>
      <c r="N25" s="194">
        <f>(N22*N23)/N24</f>
        <v>28688.442433383603</v>
      </c>
    </row>
    <row r="26" spans="2:17" x14ac:dyDescent="0.25">
      <c r="F26" s="190"/>
      <c r="G26" s="190"/>
      <c r="H26" s="190"/>
      <c r="I26" s="190"/>
      <c r="J26" s="190"/>
      <c r="K26" s="190"/>
    </row>
  </sheetData>
  <mergeCells count="2">
    <mergeCell ref="N10:Q12"/>
    <mergeCell ref="B23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VR MO</vt:lpstr>
      <vt:lpstr>PERS-DCTO</vt:lpstr>
      <vt:lpstr>PERSONAL</vt:lpstr>
      <vt:lpstr>EJERC</vt:lpstr>
      <vt:lpstr>DOTACION</vt:lpstr>
      <vt:lpstr>'VR MO'!Área_de_impresión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Ramirez</dc:creator>
  <cp:lastModifiedBy>Ana Isabel Teheran</cp:lastModifiedBy>
  <cp:lastPrinted>2018-06-18T16:03:22Z</cp:lastPrinted>
  <dcterms:created xsi:type="dcterms:W3CDTF">2016-09-29T14:27:43Z</dcterms:created>
  <dcterms:modified xsi:type="dcterms:W3CDTF">2018-06-18T20:03:59Z</dcterms:modified>
</cp:coreProperties>
</file>